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'Лист1'!$A$1:$E$126</definedName>
  </definedNames>
  <calcPr fullCalcOnLoad="1"/>
</workbook>
</file>

<file path=xl/sharedStrings.xml><?xml version="1.0" encoding="utf-8"?>
<sst xmlns="http://schemas.openxmlformats.org/spreadsheetml/2006/main" count="1119" uniqueCount="336">
  <si>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</si>
  <si>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</si>
  <si>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</si>
  <si>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</si>
  <si>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</si>
  <si>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</si>
  <si>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</si>
  <si>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</si>
  <si>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</si>
  <si>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</si>
  <si>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Земельный налог</t>
  </si>
  <si>
    <t>ИТОГО СОБСТВЕННЫХ ДОХОДОВ</t>
  </si>
  <si>
    <t>ОТ ГОС. ЦЕЛЕВЫХ БЮДЖЕТНЫХ ФОНДОВ</t>
  </si>
  <si>
    <t>Фонд борьбы с преступностью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</si>
  <si>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</si>
  <si>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</si>
  <si>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</si>
  <si>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</si>
  <si>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СОЦИАЛЬНАЯ ПОЛИТИКА</t>
  </si>
  <si>
    <t>ВСЕГО РАСХОДОВ</t>
  </si>
  <si>
    <t>НЕНАЛОГОВЫЕ ДОХОДЫ - всего</t>
  </si>
  <si>
    <t>АДМИНИСТРАТИВНЫЕ ПЛАТЕЖИ И СБОРЫ</t>
  </si>
  <si>
    <t>ШТРАФНЫЕ САНКЦИИ, ВОЗМЕЩЕНИЕ УЩЕРБА</t>
  </si>
  <si>
    <t>ДОХОДЫ ОТ ПРЕДПРИНИМАТЕЛЬСКОЙ И ИНОЙ, ПРИНОСЯЩЕЙ ДОХОД  ДЕЯТЕЛЬНОСТИ</t>
  </si>
  <si>
    <t>ОХРАНА ОКРУЖАЮЩЕЙ СРЕДЫ</t>
  </si>
  <si>
    <t xml:space="preserve">           капремонт    </t>
  </si>
  <si>
    <t>СУБВЕНЦИИ</t>
  </si>
  <si>
    <t>ТРАНСФЕРТ</t>
  </si>
  <si>
    <t>Поступления от продажи имущества,находящегося в муниципальной собственности</t>
  </si>
  <si>
    <t>Доходы от использования лесного фонда</t>
  </si>
  <si>
    <t>Прочие неналоговые доходы</t>
  </si>
  <si>
    <t>Доходы от продажи оборудования,транспортных средств и др,матер,ценностей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</si>
  <si>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</si>
  <si>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</si>
  <si>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</si>
  <si>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</si>
  <si>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>Бюджетная ссуда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</si>
  <si>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</si>
  <si>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</si>
  <si>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</si>
  <si>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</si>
  <si>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</si>
  <si>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</si>
  <si>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</si>
  <si>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</si>
  <si>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</si>
  <si>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</si>
  <si>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ДОХОДЫ ОТ ПРЕДПРИНИМАТЕЛЬСКОЙ И ИНОЙ ПРИНОСЯЩЕЙ ДОХОД ДЕЯТЕЛЬНОСТИ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</si>
  <si>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</si>
  <si>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</si>
  <si>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</si>
  <si>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</si>
  <si>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</si>
  <si>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</si>
  <si>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</si>
  <si>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</si>
  <si>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</si>
  <si>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</si>
  <si>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</si>
  <si>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</si>
  <si>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</si>
  <si>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ДРУГИЕ ВОПРОСЫ В ОБЛАСТИ НАЦИОНАЛЬНОЙ ЭКОНОМИКИ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</si>
  <si>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</si>
  <si>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</si>
  <si>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</si>
  <si>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</si>
  <si>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</si>
  <si>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</si>
  <si>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СУБВЕНЦИИ  БЮДЖЕТАМ  ПОСЕЛЕНИЙ  НА  ВЫПОЛНЕНИЕ  ПЕРЕДАВАЕМЫХ  ПОЛНОМОЧИЙ  СУБЪЕКТОВ  РОССИЙСКОЙ  ФЕДЕРАЦИИ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</si>
  <si>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</si>
  <si>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</si>
  <si>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</si>
  <si>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</si>
  <si>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СУБСИДИИ БЮДЖЕТАМ ПОСЕЛЕНИЙ НА ОБЕСПЕЧЕНИЕ  ЖИЛЬЕМ  МОЛОДЫХ  СЕМЕЙ</t>
  </si>
  <si>
    <t>СУБСИДИИ  БЮДЖЕТАМ  ПОСЕЛЕНИЙ  НА  ОБЕСПЕЧЕНИЕ ЖИЛЬЕМ   МОЛОДЫХ  СЕМЕЙ</t>
  </si>
  <si>
    <t>СУБСИДИИ БЮДЖЕТАМ ПОСЕЛЕНИЙ НА ОБЕСПЕЧЕНИЕ ЖИЛЬЕМ  МОЛОДЫХ  СЕМЕЙ</t>
  </si>
  <si>
    <t>СУБСИДИИ  БЮДЖЕТАМ  ПОСЕЛЕНИЙ  НА  ОБЕСПЕЧЕНИЕ ЖИЛЬЕМ  МОЛОДЫХ СЕМЕЙ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</si>
  <si>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</si>
  <si>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</si>
  <si>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</si>
  <si>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</si>
  <si>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</si>
  <si>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</si>
  <si>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</si>
  <si>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</si>
  <si>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из  них: оценка  недвижимости, признание прав и регулирование отношений по госуд.и муниц. собственн.</t>
  </si>
  <si>
    <t>в  том  числе :Коммунальное хозяйство</t>
  </si>
  <si>
    <t>из  них : дотация на покрытие убытков  ЖКХ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</si>
  <si>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</si>
  <si>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</si>
  <si>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</si>
  <si>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</si>
  <si>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</si>
  <si>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</si>
  <si>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</si>
  <si>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 xml:space="preserve">            мероприятия в области  коммунального  хозяйства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</si>
  <si>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</si>
  <si>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</si>
  <si>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</si>
  <si>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</si>
  <si>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 : за счет средств республиканского бюджета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</si>
  <si>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</si>
  <si>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</si>
  <si>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СУБСИДИИ  БЮДЖЕТАМ ПОСЕЛЕНИЙ НА  ОБЕСПЕЧЕНИЕ  ЖИЛЬЕМ   МОЛОДЫХ  СЕМЕЙ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</si>
  <si>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</si>
  <si>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</si>
  <si>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</si>
  <si>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</si>
  <si>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</si>
  <si>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 xml:space="preserve">ПРОЧИЕ  СУБСИДИИ  БЮДЖЕТАМ  ПОСЕЛЕНИЙ </t>
  </si>
  <si>
    <t>СУБСИДИИ  БЮДЖЕТАМ ПОСЕЛЕНИЙ НА  ОСУЩЕСТВЛЕНИЕ МЕРОПРИЯТИЙ ПО  ОБЕСПЕЧЕНИЮ  ЖИЛЬЕМ   ГРАЖДАН  РФ, ПРОЖИВАЮЩИХ  В СЕЛЬСКОЙ МЕСТНОСТИ</t>
  </si>
  <si>
    <t xml:space="preserve">Обеспеч. жилыми помещ.детей-сирот и детей,оставш.без попеч.родит.  </t>
  </si>
  <si>
    <t xml:space="preserve">                      за  счет  местного  бюджета</t>
  </si>
  <si>
    <t>ДОХОДЫ ОТ ОКАЗАНИЯ ПЛАТНЫХ УСЛУГ И КОМПЕНСАЦИИ ЗАТРАТ ГОСУДАРСТВА</t>
  </si>
  <si>
    <t>прочие  доходы от  оказания платных услуг  получателями средств бюджетов  поселений и компенсации затрат государства бюджетов поселений</t>
  </si>
  <si>
    <t>СУБСИДИИ НА ОБЕСПЕЧЕНИЕ ЖИЛЬЕМ  МОЛОДЫХ  СЕМЕЙ  И  МОЛОДЫХ  СПЕЦИАЛИСТОВ,ПРОЖИВАЮЩИХ И РАБОТАЮЩИХ В СЕЛЬСКОЙ МЕСТНОСТИ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</si>
  <si>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</si>
  <si>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ВОЗВРАТ ОСТАТКОВ СУБСИДИЙ И СУБВЕНЦИЙ ПРОШЛЫХ ЛЕТ</t>
  </si>
  <si>
    <t>возмещение потерь сельскохозяйственного производства, связанных с изъятием  сельскохозяйственных угодий, расположенных на территориях поселений</t>
  </si>
  <si>
    <t>СУБСИДИИ БЮДЖЕТАМ ПОСЕЛЕНИЙ НА ОБЕСПЕЧЕНИЕ  ЖИЛЬЕМ  МОЛОДЫХ  СЕМЕЙ   МОЛОДЫХ  СПЕЦИАЛИСТОВ, ПРОЖИВАЮЩИХ И РАБОТАЮЩИХ В СЕЛЬСКОЙ  МЕСТНОСТИ</t>
  </si>
  <si>
    <t>СУБСИДИИ НА ОБЕСПЕЧЕНИЕ  ЖИЛЬЕМ  МОЛОДЫХ СЕМЕЙ  И МОЛОДЫХ  СПЕЦИАЛИСТОВ, ПРОЖИВАЮЩИХ  И РАБОТАЮЩИХ В СЕЛЬСКОЙ МЕСТНОСТИ</t>
  </si>
  <si>
    <t>СУБСИДИИ БЮДЖЕТАМ  ПОСЕЛЕНИЙ  НА ОСУЩЕСТВЛЕНИЕ МЕРОПРИЯТИЙ  ПО ОБЕСПЕЧЕНИЮ ЖИЛЬЕМ  ГРАЖДАН РФ,ПРОЖИВАЮЩИХ В СЕЛЬСКОЙ МЕСТНОСТИ</t>
  </si>
  <si>
    <t>в  том  числе :Жилищное хозяйство</t>
  </si>
  <si>
    <t>расходы на обеспечение малоимущих граждан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</si>
  <si>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</si>
  <si>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</si>
  <si>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</si>
  <si>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</si>
  <si>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</si>
  <si>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Защита населения и территории от последствий  чрезвычайных ситуаций природного и техногенного  характера, гражданская оборона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</si>
  <si>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</si>
  <si>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</si>
  <si>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</si>
  <si>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СОЦИАЛЬНАЯ   ПОЛИТИКА</t>
  </si>
  <si>
    <t>ПРОЧИЕ МЕЖБЮДЖЕТНЫЕ ТРАНСФЕРТЫ,ПЕРЕДАВАЕМЫЕ БЮДЖЕТАМ ПОСЕЛЕНИЙ</t>
  </si>
  <si>
    <t>ВОЗВРАТ  ОСТАТКОВ СУБСИДИЙ И СУБВЕНЦИЙ ПРОШЛЫХ ЛЕТ</t>
  </si>
  <si>
    <t>в т.ч. оценка недвижимости, признание прав и регулирование отношений по госуд.и муниц. собств.</t>
  </si>
  <si>
    <t xml:space="preserve">           на расходы  по обесп.жильем малоимущ.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</si>
  <si>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</si>
  <si>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</si>
  <si>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СУБВЕНЦИИ БЮДЖЕТАМ ПОСЕЛЕНИЙ НА ВЫПОЛНЕНИЕ ПЕРЕДАВАЕМЫХ ПОЛНОМОЧИЙ СУБЪЕКТОВ  РОССИЙСКОЙ  ФЕДЕРАЦИИ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</si>
  <si>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</si>
  <si>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</si>
  <si>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</si>
  <si>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</si>
  <si>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</si>
  <si>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</si>
  <si>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</si>
  <si>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</si>
  <si>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ПОСЕЛЕНИЙ НА КОМПЛЕКТОВАНИЕ  КНИЖНЫХ ФОНДОВ БИБЛИОТЕК МУНИЦИПАЛЬНЫХ ОБРАЗОВАНИЙ</t>
  </si>
  <si>
    <t>МЕЖБЮДЖЕТНЫЕ ТРАНСФЕРТЫ,ПЕРЕДАВАЕМЫЕ БЮДЖЕТАМ ПОСЕЛЕНИЙ  ДЛЯ КОМПЕНСАЦИИ  ДОПОЛНИТЕЛЬНЫХ РАСХОДОВ, ВОЗНИКШИХ В РЕЗУЛЬТАТЕ РЕШЕНИЙ, ПРИНЯТЫХ ОРГАНАМИ ВЛАСТИ ДРУГОГО УРОВНЯ</t>
  </si>
  <si>
    <t xml:space="preserve">Оказание материальной помощи  ( местн. бюджет)           </t>
  </si>
  <si>
    <t>Оказание  материальной  помощи</t>
  </si>
  <si>
    <t>СУБСИДИИ НА ОСУЩЕСТВЛЕНИЕ КАПИТАЛЬНОГО РЕМОНТА ОБЪЕКТОВ СОЦИАЛЬНО-КУЛЬТУРНОЙ СФЕРЫ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</si>
  <si>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</si>
  <si>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в том числе: за счет республ.бюдж.</t>
  </si>
  <si>
    <t>Мероприятия по капитальному ремонту гидротехнических сооружений</t>
  </si>
  <si>
    <t>в том числе: за счет федерального бюджета</t>
  </si>
  <si>
    <t xml:space="preserve">                     за счет республиканского бюджета</t>
  </si>
  <si>
    <t xml:space="preserve"> В том числе: мероприятия по капитальному ремонту гидротехнических сооружений</t>
  </si>
  <si>
    <t>ВОДНЫЕ РЕСУРСЫ</t>
  </si>
  <si>
    <t>из них: мероприятия в области коммунального хозяйства</t>
  </si>
  <si>
    <t xml:space="preserve">         проектные работы по очистным сооружениям</t>
  </si>
  <si>
    <t>ИТОГО  БЕЗВОЗМЕЗДНЫХ ПОСТУПЛЕНИЙ</t>
  </si>
  <si>
    <t>в том числе: на разработку проекта  реконстр.плотины- респ.бюдж. (А-Баз. посел.)</t>
  </si>
  <si>
    <t>Cубсидии на обеспечение  жильем  молодых  семей  ( респ.бюдж. согл. Указа Презид. ЧР № 51)</t>
  </si>
  <si>
    <t>Возмещение потерь с/х пр-ва, связанных с изъятием  с/х угодий</t>
  </si>
  <si>
    <t>невыясненные поступления</t>
  </si>
  <si>
    <t>субсидии на обеспечение  жильем молодых семей ( по Указу Президента № 51)</t>
  </si>
  <si>
    <t>Cубсидии на обеспечение  жильем  молодых  семей  ( местн.бюдж. согл. Указа Презид. ЧР № 51)</t>
  </si>
  <si>
    <t>СУБСИДИИ НА ОСУЩЕСТВЛЕНИЕ МЕРОПРИЯТИЙ ПО ОБЕСПЕЧЕНИЮ ЖИЛЬЕМ ГРАЖДАН РФ, ПРОЖИВАЮЩИХ  В СЕЛЬСКОЙ МЕСТНОСТИ</t>
  </si>
  <si>
    <t xml:space="preserve">ПРОЧИЕ  СУБСИДИИ БЮДЖЕТАМ  ПОСЕЛЕНИЙ  </t>
  </si>
  <si>
    <t>расходы по осуществлению капитального ремонта объектов социально-культурной сферы</t>
  </si>
  <si>
    <t>в том числе респ. бюджет</t>
  </si>
  <si>
    <t>местн. бюджет</t>
  </si>
  <si>
    <t>в том числе за счет средств респ. бюд.</t>
  </si>
  <si>
    <t>осуществление первичного воинского учета на территориях, где отсутствуют военные комиссариаты (фед.)</t>
  </si>
  <si>
    <t>комплектование книжных фондов библиотек (фед.)</t>
  </si>
  <si>
    <t>возмещение потерь с/х пр-ва, связанных с изъятием  с/х угодий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</si>
  <si>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</si>
  <si>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</si>
  <si>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            субв.по осущ.полном. по вед.учета граждан (респ.)</t>
  </si>
  <si>
    <t xml:space="preserve">прочие  неналоговые  доходы  бюджетов  поселений  </t>
  </si>
  <si>
    <t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(респ.)</t>
  </si>
  <si>
    <t xml:space="preserve">            субв.по осущ.полном. по вед.учета граждан (респ.),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</si>
  <si>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</si>
  <si>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</si>
  <si>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</si>
  <si>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</si>
  <si>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земельный налог</t>
  </si>
  <si>
    <t>СУБСИДИИ</t>
  </si>
  <si>
    <t>в том числе</t>
  </si>
  <si>
    <t>из них</t>
  </si>
  <si>
    <t>субсидии на поощрение победителей экономического соревнования между поселениями ЧР</t>
  </si>
  <si>
    <t>развитие улично-дорожной сети сельских населенных пунктов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</si>
  <si>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</si>
  <si>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субсидии местным бюджетам на софинансирование расходов бюджетов м/о по осуществлению капитального ремонта объектов социально-культурной сферы</t>
  </si>
  <si>
    <t>СУБВЕНЦИИ  БЮДЖЕТАМ  ПОСЕЛЕНИЙ  НА  ОБЕСПЕЧЕНИЕ 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</si>
  <si>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ИНЫЕ МЕЖБЮДЖЕТНЫЕ ТРАНСФЕРТЫ</t>
  </si>
  <si>
    <t xml:space="preserve">            расходы по осуществлению полномочий по ведению учета граждан , нуждающихся в жилых помещениях  за счет субвенций бюджетам поселений (респ.)</t>
  </si>
  <si>
    <t xml:space="preserve">                     за  счет  местного бюджета (разработка проекта реконструкции плотины)</t>
  </si>
  <si>
    <t>районный бюджет</t>
  </si>
  <si>
    <t>ремонт клуба (район. ср-ва)</t>
  </si>
  <si>
    <t>Уточненный план на 2011 год</t>
  </si>
  <si>
    <t>возврат остатков субсид. прошл. лет из бюджетов поселений</t>
  </si>
  <si>
    <t>ДОТАЦИИ БЮДЖЕТАМ ПОСЕЛЕНИЙ НА ПОДДЕРЖКУ МЕР ПО ОБЕСЕЧЕНИЮ СБАЛАНСИРОВАННОСТИ БЮДЖЕТОВ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</si>
  <si>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</si>
  <si>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</si>
  <si>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</si>
  <si>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</si>
  <si>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в том числе: заработная плата </t>
  </si>
  <si>
    <t xml:space="preserve"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</si>
  <si>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респ.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</si>
  <si>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мест.</t>
  </si>
  <si>
    <t>ФИЗИЧЕСКАЯ КУЛЬТУРА И СПОРТ</t>
  </si>
  <si>
    <t xml:space="preserve">    физическая культура и спорт  </t>
  </si>
  <si>
    <t>СУБСИДИИ БЮДЖЕТАМ ПОСЕЛЕНИЙ НА СУЩЕСТВЛЕНИЕ МЕРОПРИЯТИЙ ПО ОБЕСПЕЧЕНИЮ ЖИЛЬЕМ ГРАЖДАН РФ, ПРОЖИВАЮЩИХ В СЕЛЬСКОЙ МЕСТНОСТИ</t>
  </si>
  <si>
    <t>доходы от реализации имущества</t>
  </si>
  <si>
    <t>СУБВЕНЦИИ БЮДЖЕТАМ ПОСЕЛЕНИЙ НА 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</si>
  <si>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невыясненные поступления, зачисляемые в бюджеты поселений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</si>
  <si>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(ПОПЕЧИТЕЛЬСТВОМ), НЕ ИМЕЮЩИХ ЗАКРЕПЛЕННОГО ЖИЛОГО ПОМЕЩЕНИЯ</t>
  </si>
  <si>
    <t>Социальное обеспечение населения</t>
  </si>
  <si>
    <t>РЦП "Социальное развитие села в Чувашской Республике до 2012 года"</t>
  </si>
  <si>
    <t>социальное обеспечение населения</t>
  </si>
  <si>
    <t>Обеспеч. жильем молодых семей и молодых специалистов, прож. и работ. в сельской местности (фед. бюдж.)</t>
  </si>
  <si>
    <t>Субсидии на осуществление мероприятий по обеспечению жильем граждан РФ, проживающих в сельской местности</t>
  </si>
  <si>
    <t xml:space="preserve">Обеспеч. жильем молодых семей и молодых специалистов, прож. и работ. в сельской местности </t>
  </si>
  <si>
    <t xml:space="preserve">Обеспечение жильем молодых семей в рамках ФЦП "Жилище" на 2011-2015 годы </t>
  </si>
  <si>
    <t xml:space="preserve"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</t>
  </si>
  <si>
    <t>Обеспечение жильем молодых семей в рамках ФЦП "Жилище" на 2011-2015 годы</t>
  </si>
  <si>
    <t>меропр. в области  коммунального хозяйства</t>
  </si>
  <si>
    <t xml:space="preserve">субсидии на обеспеч.жильем  молодых  семей и  молодых  специалистов, проживающих и работающих в  сельской  местности </t>
  </si>
  <si>
    <t>обеспечение жильем молодых семей в рамках ФЦП "Жилище" на 2011-2015 годы</t>
  </si>
  <si>
    <t>в том числе: фед. бюдж.</t>
  </si>
  <si>
    <t xml:space="preserve">                    респ бюдж</t>
  </si>
  <si>
    <t xml:space="preserve">                    местн бюдж </t>
  </si>
  <si>
    <t>в том числе:  фед. бюджет</t>
  </si>
  <si>
    <t xml:space="preserve">                      местн. бюджет</t>
  </si>
  <si>
    <t xml:space="preserve">                      респ. бюджет</t>
  </si>
  <si>
    <t xml:space="preserve"> РЦП "Социальное развитие села в ЧР до 2012 года"                                          </t>
  </si>
  <si>
    <t xml:space="preserve">субсидии на обеспечение жильем молодых семей и специалистов, проживающих и работающих в сельской местности </t>
  </si>
  <si>
    <t xml:space="preserve">                     Обеспечение пожарной безопасности</t>
  </si>
  <si>
    <t xml:space="preserve">           расходы на переселение граждан  из ветхого жилья по РЦП "Переселение гражд. из ветх. и авар. жилфонда, расп. на терр. ЧР" на 2008-2011 г.г.</t>
  </si>
  <si>
    <t xml:space="preserve">Пособия по социальной помощи населению 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</si>
  <si>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</si>
  <si>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</si>
  <si>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субсидии на капремонт объектов соцкультсферы</t>
  </si>
  <si>
    <t>втом числе субсидии на осуществление капремонта объектов соц-культсферы</t>
  </si>
  <si>
    <t xml:space="preserve"> администрации Козловского района</t>
  </si>
  <si>
    <t>Начальник финансового отдела</t>
  </si>
  <si>
    <t>А. И. Чернова</t>
  </si>
  <si>
    <t>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</si>
  <si>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>ФЦП "Социальное развитие села до 2013 года"</t>
  </si>
  <si>
    <t>РЦП "Социальное развитие села в Чувашской Республике до 2013 года"</t>
  </si>
  <si>
    <t>Обслуживание государственного долга</t>
  </si>
  <si>
    <t>в т.ч.обслуж.внутренниго долга</t>
  </si>
  <si>
    <t>прочие неналоговые доходы</t>
  </si>
  <si>
    <t>СУБСИДИИ БЮДЖЕТАМ ПОСЕЛЕНИЙ НА РЕАЛИЗАЦИЮ ФЕДЕРАЛЬНЫХ ЦЕЛЕВЫХ ПРОГРАММ</t>
  </si>
  <si>
    <t xml:space="preserve">СУБСИДИИ БЮДЖЕТАМ ПОСЕЛЕНИЙ НА РЕАЛИЗАЦИЮ ФЕДЕРАЛЬНЫХ ЦЕЛЕВЫХ ПРОГРАМ </t>
  </si>
  <si>
    <t xml:space="preserve">СУБСИДИИ БЮДЖЕТАМ ПОСЕЛЕНИЙ НА  РЕАЛИЗАЦИЮ ФЕДЕРАЛЬНЫХ ЦЕЛЕВЫХ ПРОГРАММ </t>
  </si>
  <si>
    <t>в том числе Коммунальное хозяйство</t>
  </si>
  <si>
    <t>СУБСИДИИ  БЮДЖЕТАМ  ПОСЕЛЕНИЙ  НА РЕАЛЛИЗАЦИЮ ФЕДЕРАЛЬНЫХ ЦЕЛЕВЫХ ПРОГРАММ</t>
  </si>
  <si>
    <t>Проведение выборов в представительные органы самоуправления</t>
  </si>
  <si>
    <t>СУБСИДИИ  БЮДЖЕТАМ ПОСЕЛЕНИЙ НА ОСУЩЕСТВЛЕНИЕ ФЕДЕРАЛЬНЫХ ЦЕЛЕВЫХ ПРОГРАММ</t>
  </si>
  <si>
    <t xml:space="preserve">ПЕРЕЧИСЛЕНИЯ ИЗ БЮДЖЕТОВ ПОСЕЛЕНИЙ ДЛЯ ОСУЩЕСТВЛЕНИЯ ВОЗВРАТА ИЗЛИШНЕ УПЛАЧЕННЫХ НАЛОГОВ </t>
  </si>
  <si>
    <t>Субсидии бюджетам поселений на реализацию федеральных целевых программ</t>
  </si>
  <si>
    <t>в том числе мероприятия в области коммунального хозяйства</t>
  </si>
  <si>
    <t>из них -меропр. в области  коммунального хозяйства</t>
  </si>
  <si>
    <t>в т.ч. обслуживание внутренниго долга</t>
  </si>
  <si>
    <t>СУБСИДИИ  БЮДЖЕТАМ ПОСЕЛЕНИЙ НА  РЕАЛИЗАЦИЮ ФЕДЕРАЛЬНЫХ ЦЕЛЕВЫХ ПРОГРАММ</t>
  </si>
  <si>
    <t xml:space="preserve">          прочие мероприятия по благоустройству</t>
  </si>
  <si>
    <t>Возмещение сельхозпотерь</t>
  </si>
  <si>
    <t>Субсидии на осуществление мероприятий по обеспечению жильем молодых семей и специалистов, проживающих в сельской местности</t>
  </si>
  <si>
    <t>СУБСИДИИ БЮДЖЕТАМ ПОСЕЛЕНИЙ НА ОСУЩЕСТВЛЕНИЕ КАПИТАЛЬНОГО РЕМОНТА ГИДРОТЕХНИЧЕСКИХ СООРУЖЕНИЙ,НАХОДЯЩИХСЯ В МУНИЦИПАЛЬНОЙ СОБСТВЕННОСТИ И БЕСХОЗНЫХ ГИДРОТЕХНИЧЕСКИХ СООРУЖЕНИЙ</t>
  </si>
  <si>
    <t>% исполнения к  годовому  плану  2012 г.</t>
  </si>
  <si>
    <t>Отклонение от  годового  плана   2012 г         ( +, - )</t>
  </si>
  <si>
    <t>% исполне-ния к  годовому плану  на 2012 г.</t>
  </si>
  <si>
    <t>Отклонение от годового плана 2012 г ( +, - )</t>
  </si>
  <si>
    <t>% исполнения к  годовому плану 2012 г.</t>
  </si>
  <si>
    <t>Отклонение от годового  плана 2012 г    ( +, - )</t>
  </si>
  <si>
    <t>% исполнения к  годовому  плану 2012 г.</t>
  </si>
  <si>
    <t>Отклонение от годового  плана  2012 г.( +, - )</t>
  </si>
  <si>
    <t>Уточненный план на 2012 год</t>
  </si>
  <si>
    <t>Отклонение от годового  плана 2012 г ( +, - )</t>
  </si>
  <si>
    <t>Уточнен-ный план на 2012 год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</si>
  <si>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</si>
  <si>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</si>
  <si>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</si>
  <si>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% исполнения к  годовому плану  2012 г.</t>
  </si>
  <si>
    <t>Отклонение от годового плана  2012 г. ( +, - )</t>
  </si>
  <si>
    <t>% исполнения к годовому  плану  2012 г.</t>
  </si>
  <si>
    <t>Отклонение от годового  плана  2012 г  ( +, - )</t>
  </si>
  <si>
    <t>СУБСИДИИ НА ОСУЩЕСТВЛЕНИЕ  МЕРОПРИЯТИЙ ПО ОБЕСПЕЧЕНИЮ ЖИЛЬЕМ  МОЛОДЫХ СЕМЕЙ,ПРОЖИВАЮЩИХ  В СЕЛЬСКОЙ МЕСТНОСТИ</t>
  </si>
  <si>
    <t>ФЦП "Жилище"</t>
  </si>
  <si>
    <t>субсидии на обеспечение  жильем молодых  семей  в рамках ФЦП "Жилище"</t>
  </si>
  <si>
    <t>Отклонение от  годового  плана   2012 г ( +, - )</t>
  </si>
  <si>
    <t>выполнение других обязательств государства</t>
  </si>
  <si>
    <t>Отклонение от годового  плана  2012 г     ( +, - )</t>
  </si>
  <si>
    <t>Субвенции бюджетам муниципальных образований на обеспечение жилыми помещениями детей-сирот, а так же детей, находящихся под опекой (попечительством), не имеющих закрепленного жилья</t>
  </si>
  <si>
    <t>Отклонение от  годового  плана  2012 г ( +, - )</t>
  </si>
  <si>
    <t>Уточненный план на 2012  год</t>
  </si>
  <si>
    <t>Отклонение от годового  плана  2012 г ( +, - )</t>
  </si>
  <si>
    <t>Анализ  исполнения бюджета Андреево-Базарского сельского поселения за март 2012 года</t>
  </si>
  <si>
    <t>Фактическое исполнение за март  2012 года</t>
  </si>
  <si>
    <t>Анализ исполнения бюджета Аттиковского сельского поселения за март 2012 года</t>
  </si>
  <si>
    <t>Анализ исполнения бюджета  Байгуловского сельского поселения за март 2012 года</t>
  </si>
  <si>
    <t>Анализ исполнения бюджета  Еметкинского сельского поселения за март 2012 года</t>
  </si>
  <si>
    <t>Фактическое исполнение за март 2012 года</t>
  </si>
  <si>
    <t>Анализ исполнения бюджета  Карамышевского сельского поселения за март 2012 года</t>
  </si>
  <si>
    <t>Анализ исполнения бюджета  Карачевского сельского поселения за март 2012 года</t>
  </si>
  <si>
    <t>Анализ исполнения бюджета  Козловского  городского  поселения  за  март 2012  года</t>
  </si>
  <si>
    <t>Анализ исполнения бюджета  Солдыбаевского сельского поселения за март 2012 года</t>
  </si>
  <si>
    <t>Анализ исполнения бюджета  Тюрлеминского сельского поселения за март 2012 года</t>
  </si>
  <si>
    <t>Анализ исполнения бюджета  Янгильдинского сельского поселения за март 2012 года</t>
  </si>
  <si>
    <t>Анализ   исполнения   бюджетов   поселений   за март  2012 года.</t>
  </si>
  <si>
    <t>капремонт и ремонт дорог общего пользования местного значения в рамках границ населенных пунктов (респ)</t>
  </si>
  <si>
    <t>СУБВЕНЦИИ БЮДЖЕТАМ ПОСЕЛЕНИЙ НА ОБЕСПЕЧЕНИЕ ЖИЛЫМИ ПОМЕЩЕНИЯМИ ДЕТЕЙ-СИРОТ</t>
  </si>
  <si>
    <t xml:space="preserve">капитальный  ремонт и ремонт автомобильных дорог общего пользования местного значения </t>
  </si>
  <si>
    <t xml:space="preserve">Субсидии местным бюджетам на обеспечение жильем молодых семей в рамках ФЦП "Жилище" </t>
  </si>
  <si>
    <t>в том числе:фед.бюджет</t>
  </si>
  <si>
    <t xml:space="preserve">                  респ.бюджет</t>
  </si>
  <si>
    <t xml:space="preserve">                  местный бюджет</t>
  </si>
  <si>
    <t>Обеспечение жилыми помещения детей-сирот</t>
  </si>
  <si>
    <t xml:space="preserve"> в т.ч.капремонт и ремонт автомобильных дорог местного значения (респ)</t>
  </si>
  <si>
    <t>в т.ч. капремонт и ремонт автомобильных дорог местного значения (респ)</t>
  </si>
  <si>
    <t>в т.ч. капремонт и ремонт автомобильных дорог общего значения местного пользования (респ.)</t>
  </si>
  <si>
    <t>в т.ч. капремонт и ремонт автомобильных дорог местного значения в границах поселений (респ.)</t>
  </si>
  <si>
    <t xml:space="preserve">                     за счет мест. бюдж.</t>
  </si>
  <si>
    <t>в т.ч. капремонт и ремонт автомобильных дорог общего пользования  местного значения (респ)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</si>
  <si>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</si>
  <si>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в т.ч. капремонт и ремонт автомобильных дорог местного значения в границах населенных пунктов (респ)</t>
  </si>
  <si>
    <t>в т.ч. капремонт и ремонт автомобильных дорог общего пользования местного значения в границах населенных пунктов (респ)</t>
  </si>
  <si>
    <t>в т.ч. капремонт и ремонт автомобильных дорог  местного значения в границах поселения (респ)</t>
  </si>
  <si>
    <t>Обеспечение жилыми помещениями детей-сирот, детей,оставшихся без попечения родителей, а также детей, находящихся под опекой, не имеющих закрепленного жилья (респ)</t>
  </si>
  <si>
    <t>в т.ч. капремонт и ремонт автомобильных дорог местного значения в границах поселений (респ)</t>
  </si>
  <si>
    <t xml:space="preserve"> ФЦП "Социальное развитие села до 2013 года"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</si>
</sst>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15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9"/>
      <color indexed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41" fontId="0" fillId="0" borderId="0" xfId="19" applyFill="1" applyAlignment="1">
      <alignment horizontal="right"/>
    </xf>
    <xf numFmtId="41" fontId="0" fillId="0" borderId="0" xfId="19" applyFill="1" applyAlignment="1">
      <alignment horizontal="right" wrapText="1"/>
    </xf>
    <xf numFmtId="41" fontId="0" fillId="0" borderId="0" xfId="19" applyFill="1" applyAlignment="1">
      <alignment horizontal="center"/>
    </xf>
    <xf numFmtId="0" fontId="0" fillId="0" borderId="0" xfId="0" applyFill="1" applyAlignment="1">
      <alignment/>
    </xf>
    <xf numFmtId="41" fontId="0" fillId="0" borderId="0" xfId="19" applyFill="1" applyAlignment="1">
      <alignment/>
    </xf>
    <xf numFmtId="41" fontId="0" fillId="0" borderId="0" xfId="19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" xfId="19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41" fontId="0" fillId="0" borderId="1" xfId="19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3" xfId="19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41" fontId="6" fillId="0" borderId="0" xfId="1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right" wrapText="1"/>
    </xf>
    <xf numFmtId="2" fontId="0" fillId="0" borderId="1" xfId="0" applyNumberFormat="1" applyFill="1" applyBorder="1" applyAlignment="1">
      <alignment wrapText="1"/>
    </xf>
    <xf numFmtId="2" fontId="0" fillId="0" borderId="1" xfId="17" applyNumberFormat="1" applyFill="1" applyBorder="1" applyAlignment="1">
      <alignment wrapText="1"/>
    </xf>
    <xf numFmtId="2" fontId="0" fillId="0" borderId="1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1" fontId="5" fillId="0" borderId="5" xfId="19" applyFont="1" applyFill="1" applyBorder="1" applyAlignment="1">
      <alignment horizontal="center" vertical="center" wrapText="1"/>
    </xf>
    <xf numFmtId="2" fontId="0" fillId="0" borderId="1" xfId="19" applyNumberFormat="1" applyFont="1" applyFill="1" applyBorder="1" applyAlignment="1">
      <alignment horizontal="right" wrapText="1"/>
    </xf>
    <xf numFmtId="1" fontId="0" fillId="0" borderId="6" xfId="19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41" fontId="5" fillId="0" borderId="8" xfId="1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19" applyFont="1" applyFill="1" applyAlignment="1">
      <alignment/>
    </xf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3" xfId="19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41" fontId="10" fillId="0" borderId="0" xfId="19" applyFont="1" applyFill="1" applyAlignment="1">
      <alignment wrapText="1"/>
    </xf>
    <xf numFmtId="41" fontId="10" fillId="0" borderId="0" xfId="19" applyFont="1" applyFill="1" applyAlignment="1">
      <alignment horizontal="right" wrapText="1"/>
    </xf>
    <xf numFmtId="0" fontId="0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2" fontId="2" fillId="0" borderId="1" xfId="19" applyNumberFormat="1" applyFont="1" applyFill="1" applyBorder="1" applyAlignment="1">
      <alignment wrapText="1"/>
    </xf>
    <xf numFmtId="41" fontId="0" fillId="0" borderId="0" xfId="19" applyFill="1" applyAlignment="1">
      <alignment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1" xfId="19" applyFill="1" applyBorder="1" applyAlignment="1">
      <alignment wrapText="1"/>
    </xf>
    <xf numFmtId="41" fontId="0" fillId="0" borderId="3" xfId="19" applyFill="1" applyBorder="1" applyAlignment="1">
      <alignment horizontal="right" wrapText="1"/>
    </xf>
    <xf numFmtId="2" fontId="0" fillId="0" borderId="1" xfId="17" applyNumberForma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horizontal="right" wrapText="1"/>
    </xf>
    <xf numFmtId="41" fontId="0" fillId="0" borderId="0" xfId="19" applyFill="1" applyAlignment="1">
      <alignment wrapText="1"/>
    </xf>
    <xf numFmtId="41" fontId="0" fillId="0" borderId="0" xfId="19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3" xfId="1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" xfId="19" applyFont="1" applyFill="1" applyBorder="1" applyAlignment="1">
      <alignment wrapText="1"/>
    </xf>
    <xf numFmtId="41" fontId="0" fillId="0" borderId="3" xfId="1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41" fontId="4" fillId="0" borderId="1" xfId="19" applyFont="1" applyFill="1" applyBorder="1" applyAlignment="1">
      <alignment horizontal="right" wrapText="1"/>
    </xf>
    <xf numFmtId="2" fontId="4" fillId="0" borderId="1" xfId="17" applyNumberFormat="1" applyFont="1" applyFill="1" applyBorder="1" applyAlignment="1">
      <alignment wrapText="1"/>
    </xf>
    <xf numFmtId="165" fontId="4" fillId="0" borderId="3" xfId="19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1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19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2" fontId="0" fillId="0" borderId="15" xfId="19" applyNumberFormat="1" applyFont="1" applyFill="1" applyBorder="1" applyAlignment="1">
      <alignment horizontal="right" wrapText="1"/>
    </xf>
    <xf numFmtId="2" fontId="0" fillId="0" borderId="6" xfId="17" applyNumberFormat="1" applyFont="1" applyFill="1" applyBorder="1" applyAlignment="1">
      <alignment wrapText="1"/>
    </xf>
    <xf numFmtId="2" fontId="0" fillId="0" borderId="16" xfId="19" applyNumberFormat="1" applyFont="1" applyFill="1" applyBorder="1" applyAlignment="1">
      <alignment horizontal="right" wrapText="1"/>
    </xf>
    <xf numFmtId="2" fontId="0" fillId="0" borderId="12" xfId="17" applyNumberFormat="1" applyFont="1" applyFill="1" applyBorder="1" applyAlignment="1">
      <alignment wrapText="1"/>
    </xf>
    <xf numFmtId="2" fontId="0" fillId="0" borderId="13" xfId="1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11" fillId="0" borderId="1" xfId="19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 wrapText="1"/>
    </xf>
    <xf numFmtId="2" fontId="0" fillId="0" borderId="0" xfId="19" applyNumberFormat="1" applyFill="1" applyBorder="1" applyAlignment="1">
      <alignment horizontal="right" wrapText="1"/>
    </xf>
    <xf numFmtId="2" fontId="0" fillId="0" borderId="17" xfId="0" applyNumberForma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top" shrinkToFit="1"/>
    </xf>
    <xf numFmtId="0" fontId="0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2" fontId="0" fillId="0" borderId="10" xfId="17" applyNumberFormat="1" applyFont="1" applyFill="1" applyBorder="1" applyAlignment="1">
      <alignment wrapText="1"/>
    </xf>
    <xf numFmtId="2" fontId="0" fillId="0" borderId="18" xfId="19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right" wrapText="1"/>
    </xf>
    <xf numFmtId="2" fontId="0" fillId="0" borderId="20" xfId="17" applyNumberFormat="1" applyFont="1" applyFill="1" applyBorder="1" applyAlignment="1">
      <alignment wrapText="1"/>
    </xf>
    <xf numFmtId="2" fontId="0" fillId="0" borderId="21" xfId="19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7" applyNumberFormat="1" applyFont="1" applyFill="1" applyBorder="1" applyAlignment="1">
      <alignment wrapText="1"/>
    </xf>
    <xf numFmtId="2" fontId="0" fillId="2" borderId="3" xfId="19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9" applyNumberFormat="1" applyFont="1" applyFill="1" applyBorder="1" applyAlignment="1">
      <alignment horizontal="right" wrapText="1"/>
    </xf>
    <xf numFmtId="2" fontId="0" fillId="0" borderId="10" xfId="19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0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2" fontId="0" fillId="0" borderId="15" xfId="19" applyNumberFormat="1" applyFont="1" applyFill="1" applyBorder="1" applyAlignment="1">
      <alignment wrapText="1"/>
    </xf>
    <xf numFmtId="2" fontId="0" fillId="0" borderId="15" xfId="17" applyNumberFormat="1" applyFont="1" applyFill="1" applyBorder="1" applyAlignment="1">
      <alignment wrapText="1"/>
    </xf>
    <xf numFmtId="2" fontId="0" fillId="0" borderId="23" xfId="19" applyNumberFormat="1" applyFont="1" applyFill="1" applyBorder="1" applyAlignment="1">
      <alignment horizontal="right" wrapText="1"/>
    </xf>
    <xf numFmtId="2" fontId="0" fillId="0" borderId="6" xfId="19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19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2" fontId="0" fillId="0" borderId="10" xfId="17" applyNumberFormat="1" applyFill="1" applyBorder="1" applyAlignment="1">
      <alignment wrapText="1"/>
    </xf>
    <xf numFmtId="2" fontId="0" fillId="0" borderId="18" xfId="19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19" applyNumberFormat="1" applyFill="1" applyBorder="1" applyAlignment="1">
      <alignment horizontal="right" wrapText="1"/>
    </xf>
    <xf numFmtId="2" fontId="0" fillId="0" borderId="10" xfId="19" applyNumberFormat="1" applyFill="1" applyBorder="1" applyAlignment="1">
      <alignment wrapText="1"/>
    </xf>
    <xf numFmtId="0" fontId="0" fillId="0" borderId="19" xfId="0" applyFill="1" applyBorder="1" applyAlignment="1">
      <alignment wrapText="1"/>
    </xf>
    <xf numFmtId="2" fontId="0" fillId="0" borderId="6" xfId="0" applyNumberFormat="1" applyFill="1" applyBorder="1" applyAlignment="1">
      <alignment wrapText="1"/>
    </xf>
    <xf numFmtId="2" fontId="0" fillId="0" borderId="6" xfId="17" applyNumberFormat="1" applyFill="1" applyBorder="1" applyAlignment="1">
      <alignment wrapText="1"/>
    </xf>
    <xf numFmtId="2" fontId="0" fillId="0" borderId="16" xfId="19" applyNumberForma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19" applyNumberFormat="1" applyFill="1" applyBorder="1" applyAlignment="1">
      <alignment horizontal="right" wrapText="1"/>
    </xf>
    <xf numFmtId="2" fontId="0" fillId="0" borderId="15" xfId="17" applyNumberFormat="1" applyFill="1" applyBorder="1" applyAlignment="1">
      <alignment wrapText="1"/>
    </xf>
    <xf numFmtId="2" fontId="0" fillId="0" borderId="23" xfId="19" applyNumberFormat="1" applyFill="1" applyBorder="1" applyAlignment="1">
      <alignment horizontal="right" wrapText="1"/>
    </xf>
    <xf numFmtId="2" fontId="0" fillId="0" borderId="6" xfId="19" applyNumberForma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2" fontId="0" fillId="0" borderId="15" xfId="19" applyNumberFormat="1" applyFill="1" applyBorder="1" applyAlignment="1">
      <alignment wrapText="1"/>
    </xf>
    <xf numFmtId="0" fontId="0" fillId="0" borderId="22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2" fontId="0" fillId="0" borderId="20" xfId="17" applyNumberFormat="1" applyFill="1" applyBorder="1" applyAlignment="1">
      <alignment wrapText="1"/>
    </xf>
    <xf numFmtId="2" fontId="0" fillId="0" borderId="21" xfId="19" applyNumberFormat="1" applyFill="1" applyBorder="1" applyAlignment="1">
      <alignment horizontal="right" wrapText="1"/>
    </xf>
    <xf numFmtId="0" fontId="3" fillId="0" borderId="22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right" wrapText="1"/>
    </xf>
    <xf numFmtId="0" fontId="0" fillId="3" borderId="2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20" xfId="19" applyNumberFormat="1" applyFill="1" applyBorder="1" applyAlignment="1">
      <alignment horizontal="right" wrapText="1"/>
    </xf>
    <xf numFmtId="2" fontId="0" fillId="3" borderId="20" xfId="0" applyNumberFormat="1" applyFill="1" applyBorder="1" applyAlignment="1">
      <alignment wrapText="1"/>
    </xf>
    <xf numFmtId="2" fontId="0" fillId="3" borderId="20" xfId="0" applyNumberForma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wrapText="1"/>
    </xf>
    <xf numFmtId="2" fontId="0" fillId="3" borderId="6" xfId="0" applyNumberForma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wrapText="1"/>
    </xf>
    <xf numFmtId="2" fontId="13" fillId="0" borderId="1" xfId="19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horizontal="right" wrapText="1"/>
    </xf>
    <xf numFmtId="2" fontId="0" fillId="3" borderId="6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2" fontId="0" fillId="3" borderId="12" xfId="0" applyNumberFormat="1" applyFill="1" applyBorder="1" applyAlignment="1">
      <alignment wrapText="1"/>
    </xf>
    <xf numFmtId="2" fontId="0" fillId="3" borderId="12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11" fillId="3" borderId="1" xfId="19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right" wrapText="1"/>
    </xf>
    <xf numFmtId="2" fontId="2" fillId="3" borderId="1" xfId="19" applyNumberFormat="1" applyFont="1" applyFill="1" applyBorder="1" applyAlignment="1">
      <alignment wrapText="1"/>
    </xf>
    <xf numFmtId="2" fontId="0" fillId="3" borderId="1" xfId="19" applyNumberFormat="1" applyFon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2" fontId="13" fillId="3" borderId="1" xfId="0" applyNumberFormat="1" applyFont="1" applyFill="1" applyBorder="1" applyAlignment="1">
      <alignment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2" fontId="13" fillId="0" borderId="1" xfId="19" applyNumberFormat="1" applyFont="1" applyFill="1" applyBorder="1" applyAlignment="1">
      <alignment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top" shrinkToFit="1"/>
    </xf>
    <xf numFmtId="2" fontId="0" fillId="0" borderId="22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vertical="top" shrinkToFit="1"/>
    </xf>
    <xf numFmtId="2" fontId="0" fillId="0" borderId="15" xfId="19" applyNumberFormat="1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wrapText="1"/>
    </xf>
    <xf numFmtId="2" fontId="4" fillId="0" borderId="1" xfId="17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2" fontId="0" fillId="3" borderId="17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13" fillId="0" borderId="2" xfId="0" applyFont="1" applyFill="1" applyBorder="1" applyAlignment="1">
      <alignment horizontal="left" wrapText="1"/>
    </xf>
    <xf numFmtId="0" fontId="0" fillId="0" borderId="24" xfId="0" applyFill="1" applyBorder="1" applyAlignment="1">
      <alignment wrapText="1"/>
    </xf>
    <xf numFmtId="2" fontId="0" fillId="3" borderId="25" xfId="0" applyNumberFormat="1" applyFill="1" applyBorder="1" applyAlignment="1">
      <alignment wrapText="1"/>
    </xf>
    <xf numFmtId="2" fontId="0" fillId="0" borderId="25" xfId="17" applyNumberFormat="1" applyFill="1" applyBorder="1" applyAlignment="1">
      <alignment wrapText="1"/>
    </xf>
    <xf numFmtId="2" fontId="0" fillId="0" borderId="26" xfId="19" applyNumberForma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2" borderId="1" xfId="17" applyNumberFormat="1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19" applyFont="1" applyFill="1" applyAlignment="1">
      <alignment horizontal="center"/>
    </xf>
    <xf numFmtId="41" fontId="6" fillId="0" borderId="0" xfId="19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zoomScaleSheetLayoutView="75" workbookViewId="0" topLeftCell="A96">
      <selection activeCell="A118" sqref="A118"/>
    </sheetView>
  </sheetViews>
  <sheetFormatPr defaultColWidth="9.00390625" defaultRowHeight="12.75"/>
  <cols>
    <col min="1" max="1" width="90.875" style="4" customWidth="1"/>
    <col min="2" max="2" width="13.625" style="4" customWidth="1"/>
    <col min="3" max="3" width="16.375" style="5" customWidth="1"/>
    <col min="4" max="4" width="14.25390625" style="4" customWidth="1"/>
    <col min="5" max="5" width="16.1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51" t="s">
        <v>302</v>
      </c>
      <c r="B1" s="251"/>
      <c r="C1" s="251"/>
      <c r="D1" s="251"/>
      <c r="E1" s="251"/>
      <c r="F1" s="20"/>
      <c r="G1" s="20"/>
      <c r="H1" s="20"/>
      <c r="I1" s="20"/>
      <c r="J1" s="20"/>
    </row>
    <row r="2" spans="1:5" ht="13.5" thickBot="1">
      <c r="A2" s="38"/>
      <c r="B2" s="38"/>
      <c r="C2" s="39"/>
      <c r="D2" s="38"/>
      <c r="E2" s="38" t="s">
        <v>0</v>
      </c>
    </row>
    <row r="3" spans="1:5" s="23" customFormat="1" ht="96.75" customHeight="1">
      <c r="A3" s="35" t="s">
        <v>1</v>
      </c>
      <c r="B3" s="19" t="s">
        <v>284</v>
      </c>
      <c r="C3" s="32" t="s">
        <v>303</v>
      </c>
      <c r="D3" s="19" t="s">
        <v>276</v>
      </c>
      <c r="E3" s="37" t="s">
        <v>277</v>
      </c>
    </row>
    <row r="4" spans="1:5" s="73" customFormat="1" ht="10.5" customHeight="1">
      <c r="A4" s="69">
        <v>1</v>
      </c>
      <c r="B4" s="102">
        <v>2</v>
      </c>
      <c r="C4" s="70">
        <v>3</v>
      </c>
      <c r="D4" s="71">
        <v>4</v>
      </c>
      <c r="E4" s="72">
        <v>5</v>
      </c>
    </row>
    <row r="5" spans="1:5" s="76" customFormat="1" ht="12.75">
      <c r="A5" s="22" t="s">
        <v>2</v>
      </c>
      <c r="B5" s="11"/>
      <c r="C5" s="74"/>
      <c r="D5" s="31"/>
      <c r="E5" s="75"/>
    </row>
    <row r="6" spans="1:5" s="9" customFormat="1" ht="12.75" customHeight="1" hidden="1">
      <c r="A6" s="77" t="s">
        <v>37</v>
      </c>
      <c r="B6" s="78"/>
      <c r="C6" s="78" t="e">
        <f>SUM(C7,C11,C14,C17,#REF!,#REF!,C10,)</f>
        <v>#REF!</v>
      </c>
      <c r="D6" s="79" t="e">
        <f>IF(#REF!=0,"   ",C6/#REF!)</f>
        <v>#REF!</v>
      </c>
      <c r="E6" s="80" t="e">
        <f>C6-#REF!</f>
        <v>#REF!</v>
      </c>
    </row>
    <row r="7" spans="1:5" s="85" customFormat="1" ht="12.75">
      <c r="A7" s="81" t="s">
        <v>58</v>
      </c>
      <c r="B7" s="206">
        <f>SUM(B9)</f>
        <v>165500</v>
      </c>
      <c r="C7" s="206">
        <f>C9</f>
        <v>43762.22</v>
      </c>
      <c r="D7" s="83">
        <f>IF(B7=0,"   ",C7/B7*100)</f>
        <v>26.44242900302115</v>
      </c>
      <c r="E7" s="84">
        <f>C7-B7</f>
        <v>-121737.78</v>
      </c>
    </row>
    <row r="8" spans="1:5" s="76" customFormat="1" ht="12.75" customHeight="1" hidden="1">
      <c r="A8" s="47" t="s">
        <v>3</v>
      </c>
      <c r="B8" s="31">
        <v>387940</v>
      </c>
      <c r="C8" s="86">
        <v>217766</v>
      </c>
      <c r="D8" s="83" t="e">
        <f>IF(#REF!=0,"   ",C8/#REF!)</f>
        <v>#REF!</v>
      </c>
      <c r="E8" s="84" t="e">
        <f>C8-#REF!</f>
        <v>#REF!</v>
      </c>
    </row>
    <row r="9" spans="1:5" s="76" customFormat="1" ht="12.75">
      <c r="A9" s="47" t="s">
        <v>186</v>
      </c>
      <c r="B9" s="31">
        <v>165500</v>
      </c>
      <c r="C9" s="86">
        <v>43762.22</v>
      </c>
      <c r="D9" s="83">
        <f>IF(B9=0,"   ",C9/B9*100)</f>
        <v>26.44242900302115</v>
      </c>
      <c r="E9" s="84">
        <f>C9-B9</f>
        <v>-121737.78</v>
      </c>
    </row>
    <row r="10" spans="1:5" s="76" customFormat="1" ht="12.75" customHeight="1" hidden="1">
      <c r="A10" s="47" t="s">
        <v>35</v>
      </c>
      <c r="B10" s="31"/>
      <c r="C10" s="86">
        <v>175</v>
      </c>
      <c r="D10" s="83"/>
      <c r="E10" s="84"/>
    </row>
    <row r="11" spans="1:5" s="85" customFormat="1" ht="12.75" customHeight="1" hidden="1">
      <c r="A11" s="47" t="s">
        <v>4</v>
      </c>
      <c r="B11" s="31">
        <f>SUM(B12:B13)</f>
        <v>1848003</v>
      </c>
      <c r="C11" s="31">
        <f>SUM(C12:C13)</f>
        <v>1704024</v>
      </c>
      <c r="D11" s="83" t="e">
        <f>IF(#REF!=0,"   ",C11/#REF!)</f>
        <v>#REF!</v>
      </c>
      <c r="E11" s="84" t="e">
        <f>C11-#REF!</f>
        <v>#REF!</v>
      </c>
    </row>
    <row r="12" spans="1:5" s="76" customFormat="1" ht="12.75" customHeight="1" hidden="1">
      <c r="A12" s="47" t="s">
        <v>5</v>
      </c>
      <c r="B12" s="31">
        <v>17853</v>
      </c>
      <c r="C12" s="86">
        <v>13730</v>
      </c>
      <c r="D12" s="83" t="e">
        <f>IF(#REF!=0,"   ",C12/#REF!)</f>
        <v>#REF!</v>
      </c>
      <c r="E12" s="84" t="e">
        <f>C12-#REF!</f>
        <v>#REF!</v>
      </c>
    </row>
    <row r="13" spans="1:5" s="76" customFormat="1" ht="12.75" customHeight="1" hidden="1">
      <c r="A13" s="47" t="s">
        <v>6</v>
      </c>
      <c r="B13" s="31">
        <v>1830150</v>
      </c>
      <c r="C13" s="86">
        <v>1690294</v>
      </c>
      <c r="D13" s="83" t="e">
        <f>IF(#REF!=0,"   ",C13/#REF!)</f>
        <v>#REF!</v>
      </c>
      <c r="E13" s="84" t="e">
        <f>C13-#REF!</f>
        <v>#REF!</v>
      </c>
    </row>
    <row r="14" spans="1:5" s="85" customFormat="1" ht="12.75">
      <c r="A14" s="47" t="s">
        <v>7</v>
      </c>
      <c r="B14" s="206">
        <f>SUM(B16)</f>
        <v>65800</v>
      </c>
      <c r="C14" s="207">
        <f>SUM(C16:C16)</f>
        <v>2183.3</v>
      </c>
      <c r="D14" s="83">
        <f>IF(B14=0,"   ",C14/B14*100)</f>
        <v>3.3180851063829793</v>
      </c>
      <c r="E14" s="84">
        <f>C14-B14</f>
        <v>-63616.7</v>
      </c>
    </row>
    <row r="15" spans="1:5" s="76" customFormat="1" ht="12.75" customHeight="1" hidden="1">
      <c r="A15" s="47" t="s">
        <v>8</v>
      </c>
      <c r="B15" s="31">
        <v>103725</v>
      </c>
      <c r="C15" s="86">
        <v>92515</v>
      </c>
      <c r="D15" s="83" t="e">
        <f>IF(#REF!=0,"   ",C15/#REF!)</f>
        <v>#REF!</v>
      </c>
      <c r="E15" s="84" t="e">
        <f>C15-#REF!</f>
        <v>#REF!</v>
      </c>
    </row>
    <row r="16" spans="1:5" s="76" customFormat="1" ht="12.75">
      <c r="A16" s="47" t="s">
        <v>187</v>
      </c>
      <c r="B16" s="31">
        <v>65800</v>
      </c>
      <c r="C16" s="86">
        <v>2183.3</v>
      </c>
      <c r="D16" s="83">
        <f aca="true" t="shared" si="0" ref="D16:D27">IF(B16=0,"   ",C16/B16*100)</f>
        <v>3.3180851063829793</v>
      </c>
      <c r="E16" s="84">
        <f aca="true" t="shared" si="1" ref="E16:E27">C16-B16</f>
        <v>-63616.7</v>
      </c>
    </row>
    <row r="17" spans="1:5" s="76" customFormat="1" ht="12.75">
      <c r="A17" s="47" t="s">
        <v>9</v>
      </c>
      <c r="B17" s="207">
        <f>SUM(B18:B19)</f>
        <v>272800</v>
      </c>
      <c r="C17" s="207">
        <f>SUM(C18:C19)</f>
        <v>30978.39</v>
      </c>
      <c r="D17" s="83">
        <f t="shared" si="0"/>
        <v>11.355714809384164</v>
      </c>
      <c r="E17" s="84">
        <f t="shared" si="1"/>
        <v>-241821.61</v>
      </c>
    </row>
    <row r="18" spans="1:5" s="76" customFormat="1" ht="12.75">
      <c r="A18" s="47" t="s">
        <v>188</v>
      </c>
      <c r="B18" s="31">
        <v>70000</v>
      </c>
      <c r="C18" s="86">
        <v>3637.41</v>
      </c>
      <c r="D18" s="83">
        <f t="shared" si="0"/>
        <v>5.1963</v>
      </c>
      <c r="E18" s="84">
        <f t="shared" si="1"/>
        <v>-66362.59</v>
      </c>
    </row>
    <row r="19" spans="1:5" s="76" customFormat="1" ht="12.75">
      <c r="A19" s="47" t="s">
        <v>189</v>
      </c>
      <c r="B19" s="31">
        <v>202800</v>
      </c>
      <c r="C19" s="86">
        <v>27340.98</v>
      </c>
      <c r="D19" s="83">
        <f t="shared" si="0"/>
        <v>13.481745562130175</v>
      </c>
      <c r="E19" s="84">
        <f t="shared" si="1"/>
        <v>-175459.02</v>
      </c>
    </row>
    <row r="20" spans="1:5" s="76" customFormat="1" ht="30" customHeight="1">
      <c r="A20" s="47" t="s">
        <v>126</v>
      </c>
      <c r="B20" s="31">
        <v>0</v>
      </c>
      <c r="C20" s="31">
        <v>0</v>
      </c>
      <c r="D20" s="83" t="str">
        <f t="shared" si="0"/>
        <v>   </v>
      </c>
      <c r="E20" s="84">
        <f t="shared" si="1"/>
        <v>0</v>
      </c>
    </row>
    <row r="21" spans="1:5" s="76" customFormat="1" ht="24.75" customHeight="1">
      <c r="A21" s="47" t="s">
        <v>40</v>
      </c>
      <c r="B21" s="207">
        <f>SUM(B22:B23)</f>
        <v>95900</v>
      </c>
      <c r="C21" s="206">
        <f>SUM(C22:C23)</f>
        <v>25078.51</v>
      </c>
      <c r="D21" s="83">
        <f t="shared" si="0"/>
        <v>26.150688216892593</v>
      </c>
      <c r="E21" s="84">
        <f t="shared" si="1"/>
        <v>-70821.49</v>
      </c>
    </row>
    <row r="22" spans="1:5" s="76" customFormat="1" ht="12.75">
      <c r="A22" s="47" t="s">
        <v>41</v>
      </c>
      <c r="B22" s="31">
        <v>92900</v>
      </c>
      <c r="C22" s="86">
        <v>25078.51</v>
      </c>
      <c r="D22" s="83">
        <f t="shared" si="0"/>
        <v>26.995166846071044</v>
      </c>
      <c r="E22" s="84">
        <f t="shared" si="1"/>
        <v>-67821.49</v>
      </c>
    </row>
    <row r="23" spans="1:5" s="76" customFormat="1" ht="24.75" customHeight="1">
      <c r="A23" s="47" t="s">
        <v>42</v>
      </c>
      <c r="B23" s="31">
        <v>3000</v>
      </c>
      <c r="C23" s="86">
        <v>0</v>
      </c>
      <c r="D23" s="83">
        <f t="shared" si="0"/>
        <v>0</v>
      </c>
      <c r="E23" s="84">
        <f t="shared" si="1"/>
        <v>-3000</v>
      </c>
    </row>
    <row r="24" spans="1:5" s="76" customFormat="1" ht="18.75" customHeight="1">
      <c r="A24" s="47" t="s">
        <v>131</v>
      </c>
      <c r="B24" s="82">
        <v>0</v>
      </c>
      <c r="C24" s="86">
        <v>0</v>
      </c>
      <c r="D24" s="83"/>
      <c r="E24" s="84">
        <f t="shared" si="1"/>
        <v>0</v>
      </c>
    </row>
    <row r="25" spans="1:5" s="76" customFormat="1" ht="16.5" customHeight="1">
      <c r="A25" s="47" t="s">
        <v>104</v>
      </c>
      <c r="B25" s="206">
        <v>0</v>
      </c>
      <c r="C25" s="206">
        <f>C26</f>
        <v>3995</v>
      </c>
      <c r="D25" s="83" t="str">
        <f t="shared" si="0"/>
        <v>   </v>
      </c>
      <c r="E25" s="84">
        <f t="shared" si="1"/>
        <v>3995</v>
      </c>
    </row>
    <row r="26" spans="1:5" s="76" customFormat="1" ht="27.75" customHeight="1">
      <c r="A26" s="47" t="s">
        <v>105</v>
      </c>
      <c r="B26" s="31">
        <v>0</v>
      </c>
      <c r="C26" s="233">
        <v>3995</v>
      </c>
      <c r="D26" s="83" t="str">
        <f t="shared" si="0"/>
        <v>   </v>
      </c>
      <c r="E26" s="84">
        <f t="shared" si="1"/>
        <v>3995</v>
      </c>
    </row>
    <row r="27" spans="1:5" s="76" customFormat="1" ht="15" customHeight="1">
      <c r="A27" s="47" t="s">
        <v>44</v>
      </c>
      <c r="B27" s="207">
        <f>B30+B31</f>
        <v>0</v>
      </c>
      <c r="C27" s="207">
        <f>SUM(C30:C31)</f>
        <v>8520</v>
      </c>
      <c r="D27" s="83" t="str">
        <f t="shared" si="0"/>
        <v>   </v>
      </c>
      <c r="E27" s="84">
        <f t="shared" si="1"/>
        <v>8520</v>
      </c>
    </row>
    <row r="28" spans="1:5" s="76" customFormat="1" ht="12.75" customHeight="1" hidden="1">
      <c r="A28" s="87" t="s">
        <v>45</v>
      </c>
      <c r="B28" s="31"/>
      <c r="C28" s="88"/>
      <c r="D28" s="83" t="e">
        <f>IF(#REF!=0,"   ",C28/#REF!)</f>
        <v>#REF!</v>
      </c>
      <c r="E28" s="84" t="e">
        <f>C28-#REF!</f>
        <v>#REF!</v>
      </c>
    </row>
    <row r="29" spans="1:5" s="9" customFormat="1" ht="12.75" customHeight="1" hidden="1">
      <c r="A29" s="87" t="s">
        <v>20</v>
      </c>
      <c r="B29" s="48">
        <f>SUM(B35,B48,B49,B46)</f>
        <v>1879125</v>
      </c>
      <c r="C29" s="50">
        <f>SUM(C35,C48,C49,C50)</f>
        <v>771906</v>
      </c>
      <c r="D29" s="83" t="e">
        <f>IF(#REF!=0,"   ",C29/#REF!)</f>
        <v>#REF!</v>
      </c>
      <c r="E29" s="84" t="e">
        <f>C29-#REF!</f>
        <v>#REF!</v>
      </c>
    </row>
    <row r="30" spans="1:5" s="9" customFormat="1" ht="25.5">
      <c r="A30" s="47" t="s">
        <v>118</v>
      </c>
      <c r="B30" s="48">
        <v>0</v>
      </c>
      <c r="C30" s="50">
        <v>0</v>
      </c>
      <c r="D30" s="83" t="str">
        <f>IF(B30=0,"   ",C30/B30*100)</f>
        <v>   </v>
      </c>
      <c r="E30" s="84">
        <f>C30-B30</f>
        <v>0</v>
      </c>
    </row>
    <row r="31" spans="1:5" s="9" customFormat="1" ht="15" customHeight="1">
      <c r="A31" s="47" t="s">
        <v>179</v>
      </c>
      <c r="B31" s="31">
        <v>0</v>
      </c>
      <c r="C31" s="82">
        <v>8520</v>
      </c>
      <c r="D31" s="83" t="str">
        <f>IF(B31=0,"   ",C31/B31*100)</f>
        <v>   </v>
      </c>
      <c r="E31" s="84">
        <f>C31-B31</f>
        <v>8520</v>
      </c>
    </row>
    <row r="32" spans="1:5" s="9" customFormat="1" ht="12.75" customHeight="1" hidden="1">
      <c r="A32" s="47" t="s">
        <v>59</v>
      </c>
      <c r="B32" s="48"/>
      <c r="C32" s="82">
        <v>0</v>
      </c>
      <c r="D32" s="83" t="e">
        <f>IF(#REF!=0,"   ",C32/#REF!)</f>
        <v>#REF!</v>
      </c>
      <c r="E32" s="84" t="e">
        <f>C32-#REF!</f>
        <v>#REF!</v>
      </c>
    </row>
    <row r="33" spans="1:5" s="9" customFormat="1" ht="0.75" customHeight="1" hidden="1">
      <c r="A33" s="128" t="s">
        <v>60</v>
      </c>
      <c r="B33" s="129">
        <v>1250</v>
      </c>
      <c r="C33" s="130"/>
      <c r="D33" s="131" t="e">
        <f>IF(#REF!=0,"   ",C33/#REF!)</f>
        <v>#REF!</v>
      </c>
      <c r="E33" s="132" t="e">
        <f>C33-#REF!</f>
        <v>#REF!</v>
      </c>
    </row>
    <row r="34" spans="1:5" s="9" customFormat="1" ht="12.75">
      <c r="A34" s="141" t="s">
        <v>11</v>
      </c>
      <c r="B34" s="142">
        <f>B7+B14+B17+B20+B21+B24+B25+B27</f>
        <v>600000</v>
      </c>
      <c r="C34" s="142">
        <f>SUM(C7,C14,C17,C20,C21,C24,C25,C27,)</f>
        <v>114517.42</v>
      </c>
      <c r="D34" s="139">
        <f aca="true" t="shared" si="2" ref="D34:D45">IF(B34=0,"   ",C34/B34*100)</f>
        <v>19.086236666666668</v>
      </c>
      <c r="E34" s="143">
        <f aca="true" t="shared" si="3" ref="E34:E45">C34-B34</f>
        <v>-485482.58</v>
      </c>
    </row>
    <row r="35" spans="1:5" s="76" customFormat="1" ht="12.75">
      <c r="A35" s="133" t="s">
        <v>46</v>
      </c>
      <c r="B35" s="134">
        <v>1550200</v>
      </c>
      <c r="C35" s="233">
        <v>401800</v>
      </c>
      <c r="D35" s="106">
        <f t="shared" si="2"/>
        <v>25.919236227583536</v>
      </c>
      <c r="E35" s="107">
        <f t="shared" si="3"/>
        <v>-1148400</v>
      </c>
    </row>
    <row r="36" spans="1:5" s="76" customFormat="1" ht="26.25" customHeight="1">
      <c r="A36" s="47" t="s">
        <v>62</v>
      </c>
      <c r="B36" s="31">
        <v>614300</v>
      </c>
      <c r="C36" s="233">
        <v>100000</v>
      </c>
      <c r="D36" s="83">
        <f t="shared" si="2"/>
        <v>16.278691193228063</v>
      </c>
      <c r="E36" s="84">
        <f t="shared" si="3"/>
        <v>-514300</v>
      </c>
    </row>
    <row r="37" spans="1:5" s="76" customFormat="1" ht="38.25" customHeight="1">
      <c r="A37" s="159" t="s">
        <v>67</v>
      </c>
      <c r="B37" s="160">
        <v>50800</v>
      </c>
      <c r="C37" s="160">
        <v>50300</v>
      </c>
      <c r="D37" s="161">
        <f t="shared" si="2"/>
        <v>99.01574803149606</v>
      </c>
      <c r="E37" s="162">
        <f t="shared" si="3"/>
        <v>-500</v>
      </c>
    </row>
    <row r="38" spans="1:5" s="76" customFormat="1" ht="24.75" customHeight="1">
      <c r="A38" s="159" t="s">
        <v>140</v>
      </c>
      <c r="B38" s="160">
        <v>100</v>
      </c>
      <c r="C38" s="163">
        <v>0</v>
      </c>
      <c r="D38" s="161">
        <f t="shared" si="2"/>
        <v>0</v>
      </c>
      <c r="E38" s="162">
        <f t="shared" si="3"/>
        <v>-100</v>
      </c>
    </row>
    <row r="39" spans="1:5" s="76" customFormat="1" ht="12.75" customHeight="1">
      <c r="A39" s="47" t="s">
        <v>73</v>
      </c>
      <c r="B39" s="31">
        <v>0</v>
      </c>
      <c r="C39" s="86">
        <v>0</v>
      </c>
      <c r="D39" s="83" t="str">
        <f t="shared" si="2"/>
        <v>   </v>
      </c>
      <c r="E39" s="84">
        <f t="shared" si="3"/>
        <v>0</v>
      </c>
    </row>
    <row r="40" spans="1:5" s="76" customFormat="1" ht="25.5" customHeight="1">
      <c r="A40" s="47" t="s">
        <v>216</v>
      </c>
      <c r="B40" s="31">
        <v>0</v>
      </c>
      <c r="C40" s="86">
        <v>0</v>
      </c>
      <c r="D40" s="83" t="str">
        <f t="shared" si="2"/>
        <v>   </v>
      </c>
      <c r="E40" s="84">
        <f t="shared" si="3"/>
        <v>0</v>
      </c>
    </row>
    <row r="41" spans="1:5" s="76" customFormat="1" ht="25.5" customHeight="1">
      <c r="A41" s="159" t="s">
        <v>149</v>
      </c>
      <c r="B41" s="160">
        <v>3300</v>
      </c>
      <c r="C41" s="160">
        <v>0</v>
      </c>
      <c r="D41" s="161">
        <f t="shared" si="2"/>
        <v>0</v>
      </c>
      <c r="E41" s="162">
        <f t="shared" si="3"/>
        <v>-3300</v>
      </c>
    </row>
    <row r="42" spans="1:5" s="76" customFormat="1" ht="25.5" customHeight="1">
      <c r="A42" s="159" t="s">
        <v>257</v>
      </c>
      <c r="B42" s="160">
        <v>0</v>
      </c>
      <c r="C42" s="160">
        <v>0</v>
      </c>
      <c r="D42" s="161"/>
      <c r="E42" s="162"/>
    </row>
    <row r="43" spans="1:5" s="76" customFormat="1" ht="18" customHeight="1">
      <c r="A43" s="47" t="s">
        <v>71</v>
      </c>
      <c r="B43" s="207">
        <f>B44+B45</f>
        <v>307900</v>
      </c>
      <c r="C43" s="207">
        <f>SUM(C44:C45)</f>
        <v>0</v>
      </c>
      <c r="D43" s="83">
        <f t="shared" si="2"/>
        <v>0</v>
      </c>
      <c r="E43" s="84">
        <f t="shared" si="3"/>
        <v>-307900</v>
      </c>
    </row>
    <row r="44" spans="1:5" s="76" customFormat="1" ht="24.75" customHeight="1">
      <c r="A44" s="47" t="s">
        <v>247</v>
      </c>
      <c r="B44" s="31">
        <v>0</v>
      </c>
      <c r="C44" s="235">
        <v>0</v>
      </c>
      <c r="D44" s="83" t="str">
        <f t="shared" si="2"/>
        <v>   </v>
      </c>
      <c r="E44" s="84">
        <f t="shared" si="3"/>
        <v>0</v>
      </c>
    </row>
    <row r="45" spans="1:5" s="76" customFormat="1" ht="14.25" customHeight="1">
      <c r="A45" s="63" t="s">
        <v>180</v>
      </c>
      <c r="B45" s="31">
        <v>307900</v>
      </c>
      <c r="C45" s="31">
        <v>0</v>
      </c>
      <c r="D45" s="83">
        <f t="shared" si="2"/>
        <v>0</v>
      </c>
      <c r="E45" s="84">
        <f t="shared" si="3"/>
        <v>-307900</v>
      </c>
    </row>
    <row r="46" spans="1:5" s="76" customFormat="1" ht="12.75" customHeight="1" hidden="1">
      <c r="A46" s="47" t="s">
        <v>29</v>
      </c>
      <c r="B46" s="31">
        <v>55000</v>
      </c>
      <c r="C46" s="86">
        <v>26448</v>
      </c>
      <c r="D46" s="83"/>
      <c r="E46" s="84"/>
    </row>
    <row r="47" spans="1:5" s="76" customFormat="1" ht="12.75" customHeight="1" hidden="1">
      <c r="A47" s="47" t="s">
        <v>31</v>
      </c>
      <c r="B47" s="31"/>
      <c r="C47" s="86">
        <v>5250</v>
      </c>
      <c r="D47" s="83"/>
      <c r="E47" s="84"/>
    </row>
    <row r="48" spans="1:5" s="76" customFormat="1" ht="12.75" customHeight="1" hidden="1">
      <c r="A48" s="47" t="s">
        <v>21</v>
      </c>
      <c r="B48" s="31">
        <v>29625</v>
      </c>
      <c r="C48" s="31">
        <v>0</v>
      </c>
      <c r="D48" s="83" t="e">
        <f>IF(#REF!=0,"   ",C48/#REF!)</f>
        <v>#REF!</v>
      </c>
      <c r="E48" s="84" t="e">
        <f>C48-#REF!</f>
        <v>#REF!</v>
      </c>
    </row>
    <row r="49" spans="1:5" s="76" customFormat="1" ht="12.75" customHeight="1" hidden="1">
      <c r="A49" s="47" t="s">
        <v>22</v>
      </c>
      <c r="B49" s="31">
        <v>244300</v>
      </c>
      <c r="C49" s="31">
        <v>367600</v>
      </c>
      <c r="D49" s="83" t="e">
        <f>IF(#REF!=0,"   ",C49/#REF!)</f>
        <v>#REF!</v>
      </c>
      <c r="E49" s="84" t="e">
        <f>C49-#REF!</f>
        <v>#REF!</v>
      </c>
    </row>
    <row r="50" spans="1:5" s="76" customFormat="1" ht="12.75" customHeight="1" hidden="1">
      <c r="A50" s="47" t="s">
        <v>30</v>
      </c>
      <c r="B50" s="31"/>
      <c r="C50" s="86">
        <v>2506</v>
      </c>
      <c r="D50" s="83" t="e">
        <f>IF(#REF!=0,"   ",C50/#REF!)</f>
        <v>#REF!</v>
      </c>
      <c r="E50" s="84" t="e">
        <f>C50-#REF!</f>
        <v>#REF!</v>
      </c>
    </row>
    <row r="51" spans="1:5" s="9" customFormat="1" ht="12.75" customHeight="1" hidden="1">
      <c r="A51" s="77" t="s">
        <v>11</v>
      </c>
      <c r="B51" s="50">
        <f>SUM(B6,B29)</f>
        <v>1879125</v>
      </c>
      <c r="C51" s="82" t="e">
        <f>SUM(C6,C29)</f>
        <v>#REF!</v>
      </c>
      <c r="D51" s="79" t="e">
        <f>IF(#REF!=0,"   ",C51/#REF!)</f>
        <v>#REF!</v>
      </c>
      <c r="E51" s="89" t="e">
        <f>C51-#REF!</f>
        <v>#REF!</v>
      </c>
    </row>
    <row r="52" spans="1:5" s="76" customFormat="1" ht="12.75" customHeight="1" hidden="1">
      <c r="A52" s="47" t="s">
        <v>26</v>
      </c>
      <c r="B52" s="31">
        <v>32964487</v>
      </c>
      <c r="C52" s="86">
        <v>30880729</v>
      </c>
      <c r="D52" s="83" t="e">
        <f>IF(#REF!=0,"   ",C52/#REF!)</f>
        <v>#REF!</v>
      </c>
      <c r="E52" s="84" t="e">
        <f>C52-#REF!</f>
        <v>#REF!</v>
      </c>
    </row>
    <row r="53" spans="1:5" s="76" customFormat="1" ht="12.75" customHeight="1" hidden="1">
      <c r="A53" s="47" t="s">
        <v>27</v>
      </c>
      <c r="B53" s="31">
        <v>42809000</v>
      </c>
      <c r="C53" s="86">
        <v>42809000</v>
      </c>
      <c r="D53" s="83" t="e">
        <f>IF(#REF!=0,"   ",C53/#REF!)</f>
        <v>#REF!</v>
      </c>
      <c r="E53" s="84" t="e">
        <f>C53-#REF!</f>
        <v>#REF!</v>
      </c>
    </row>
    <row r="54" spans="1:5" s="76" customFormat="1" ht="12.75" customHeight="1" hidden="1">
      <c r="A54" s="47" t="s">
        <v>36</v>
      </c>
      <c r="B54" s="31">
        <v>1300000</v>
      </c>
      <c r="C54" s="88">
        <v>1300000</v>
      </c>
      <c r="D54" s="83" t="e">
        <f>IF(#REF!=0,"   ",C54/#REF!)</f>
        <v>#REF!</v>
      </c>
      <c r="E54" s="84" t="e">
        <f>C54-#REF!</f>
        <v>#REF!</v>
      </c>
    </row>
    <row r="55" spans="1:5" s="76" customFormat="1" ht="12.75" customHeight="1" hidden="1">
      <c r="A55" s="47" t="s">
        <v>11</v>
      </c>
      <c r="B55" s="31"/>
      <c r="C55" s="88"/>
      <c r="D55" s="83" t="e">
        <f>IF(#REF!=0,"   ",C55/#REF!)</f>
        <v>#REF!</v>
      </c>
      <c r="E55" s="84" t="e">
        <f>C55-#REF!</f>
        <v>#REF!</v>
      </c>
    </row>
    <row r="56" spans="1:5" s="76" customFormat="1" ht="12.75" customHeight="1" hidden="1">
      <c r="A56" s="77" t="s">
        <v>12</v>
      </c>
      <c r="B56" s="31">
        <v>0</v>
      </c>
      <c r="C56" s="31">
        <v>0</v>
      </c>
      <c r="D56" s="83" t="e">
        <f>IF(#REF!=0,"   ",C56/#REF!)</f>
        <v>#REF!</v>
      </c>
      <c r="E56" s="84" t="e">
        <f>C56-#REF!</f>
        <v>#REF!</v>
      </c>
    </row>
    <row r="57" spans="1:5" s="76" customFormat="1" ht="12.75" customHeight="1" hidden="1">
      <c r="A57" s="47" t="s">
        <v>13</v>
      </c>
      <c r="B57" s="31">
        <v>0</v>
      </c>
      <c r="C57" s="86">
        <v>0</v>
      </c>
      <c r="D57" s="83" t="e">
        <f>IF(#REF!=0,"   ",C57/#REF!)</f>
        <v>#REF!</v>
      </c>
      <c r="E57" s="84" t="e">
        <f>C57-#REF!</f>
        <v>#REF!</v>
      </c>
    </row>
    <row r="58" spans="1:5" s="76" customFormat="1" ht="36" customHeight="1" hidden="1">
      <c r="A58" s="47" t="s">
        <v>23</v>
      </c>
      <c r="B58" s="31">
        <v>3477561</v>
      </c>
      <c r="C58" s="86">
        <v>2736977</v>
      </c>
      <c r="D58" s="83" t="e">
        <f>IF(#REF!=0,"   ",C58/#REF!)</f>
        <v>#REF!</v>
      </c>
      <c r="E58" s="84" t="e">
        <f>C58-#REF!</f>
        <v>#REF!</v>
      </c>
    </row>
    <row r="59" spans="1:5" s="76" customFormat="1" ht="12.75" customHeight="1" hidden="1">
      <c r="A59" s="47" t="s">
        <v>28</v>
      </c>
      <c r="B59" s="31"/>
      <c r="C59" s="86">
        <v>268613</v>
      </c>
      <c r="D59" s="83" t="e">
        <f>IF(#REF!=0,"   ",C59/#REF!)</f>
        <v>#REF!</v>
      </c>
      <c r="E59" s="84" t="e">
        <f>C59-#REF!</f>
        <v>#REF!</v>
      </c>
    </row>
    <row r="60" spans="1:5" s="76" customFormat="1" ht="21.75" customHeight="1">
      <c r="A60" s="137" t="s">
        <v>14</v>
      </c>
      <c r="B60" s="138">
        <f>SUM(B34,B35,B36:B43,)</f>
        <v>3126600</v>
      </c>
      <c r="C60" s="138">
        <f>SUM(C34,C35,C36:C43,)</f>
        <v>666617.4199999999</v>
      </c>
      <c r="D60" s="139">
        <f aca="true" t="shared" si="4" ref="D60:D76">IF(B60=0,"   ",C60/B60*100)</f>
        <v>21.320841169321305</v>
      </c>
      <c r="E60" s="140">
        <f aca="true" t="shared" si="5" ref="E60:E76">C60-B60</f>
        <v>-2459982.58</v>
      </c>
    </row>
    <row r="61" spans="1:5" s="8" customFormat="1" ht="13.5" thickBot="1">
      <c r="A61" s="155" t="s">
        <v>15</v>
      </c>
      <c r="B61" s="156"/>
      <c r="C61" s="157"/>
      <c r="D61" s="131" t="str">
        <f t="shared" si="4"/>
        <v>   </v>
      </c>
      <c r="E61" s="132">
        <f t="shared" si="5"/>
        <v>0</v>
      </c>
    </row>
    <row r="62" spans="1:5" s="76" customFormat="1" ht="13.5" thickBot="1">
      <c r="A62" s="147" t="s">
        <v>48</v>
      </c>
      <c r="B62" s="148">
        <v>755700</v>
      </c>
      <c r="C62" s="148">
        <v>137068.77</v>
      </c>
      <c r="D62" s="135">
        <f t="shared" si="4"/>
        <v>18.137987296546246</v>
      </c>
      <c r="E62" s="136">
        <f t="shared" si="5"/>
        <v>-618631.23</v>
      </c>
    </row>
    <row r="63" spans="1:5" s="76" customFormat="1" ht="13.5" thickBot="1">
      <c r="A63" s="145" t="s">
        <v>49</v>
      </c>
      <c r="B63" s="146">
        <v>755200</v>
      </c>
      <c r="C63" s="148">
        <v>137068.77</v>
      </c>
      <c r="D63" s="106">
        <f t="shared" si="4"/>
        <v>18.14999602754237</v>
      </c>
      <c r="E63" s="107">
        <f t="shared" si="5"/>
        <v>-618131.23</v>
      </c>
    </row>
    <row r="64" spans="1:5" s="76" customFormat="1" ht="12.75">
      <c r="A64" s="47" t="s">
        <v>206</v>
      </c>
      <c r="B64" s="31">
        <v>476900</v>
      </c>
      <c r="C64" s="88">
        <v>90469.95</v>
      </c>
      <c r="D64" s="83">
        <f t="shared" si="4"/>
        <v>18.970423568882364</v>
      </c>
      <c r="E64" s="84">
        <f t="shared" si="5"/>
        <v>-386430.05</v>
      </c>
    </row>
    <row r="65" spans="1:5" s="90" customFormat="1" ht="12.75">
      <c r="A65" s="47" t="s">
        <v>181</v>
      </c>
      <c r="B65" s="31">
        <v>100</v>
      </c>
      <c r="C65" s="88">
        <v>0</v>
      </c>
      <c r="D65" s="83">
        <f t="shared" si="4"/>
        <v>0</v>
      </c>
      <c r="E65" s="84">
        <f t="shared" si="5"/>
        <v>-100</v>
      </c>
    </row>
    <row r="66" spans="1:5" s="76" customFormat="1" ht="12.75">
      <c r="A66" s="47" t="s">
        <v>141</v>
      </c>
      <c r="B66" s="31">
        <v>500</v>
      </c>
      <c r="C66" s="88">
        <v>0</v>
      </c>
      <c r="D66" s="83">
        <f t="shared" si="4"/>
        <v>0</v>
      </c>
      <c r="E66" s="84">
        <f t="shared" si="5"/>
        <v>-500</v>
      </c>
    </row>
    <row r="67" spans="1:5" s="76" customFormat="1" ht="12.75">
      <c r="A67" s="47" t="s">
        <v>69</v>
      </c>
      <c r="B67" s="207">
        <f>SUM(B68)</f>
        <v>0</v>
      </c>
      <c r="C67" s="207">
        <v>0</v>
      </c>
      <c r="D67" s="83" t="str">
        <f t="shared" si="4"/>
        <v>   </v>
      </c>
      <c r="E67" s="84">
        <f t="shared" si="5"/>
        <v>0</v>
      </c>
    </row>
    <row r="68" spans="1:5" s="76" customFormat="1" ht="25.5" customHeight="1" thickBot="1">
      <c r="A68" s="154" t="s">
        <v>85</v>
      </c>
      <c r="B68" s="129">
        <v>0</v>
      </c>
      <c r="C68" s="93">
        <v>0</v>
      </c>
      <c r="D68" s="131" t="str">
        <f t="shared" si="4"/>
        <v>   </v>
      </c>
      <c r="E68" s="132">
        <f t="shared" si="5"/>
        <v>0</v>
      </c>
    </row>
    <row r="69" spans="1:5" s="76" customFormat="1" ht="13.5" thickBot="1">
      <c r="A69" s="147" t="s">
        <v>65</v>
      </c>
      <c r="B69" s="208">
        <f>SUM(B70)</f>
        <v>50800</v>
      </c>
      <c r="C69" s="208">
        <f>SUM(C70)</f>
        <v>9123.06</v>
      </c>
      <c r="D69" s="135">
        <f t="shared" si="4"/>
        <v>17.958779527559056</v>
      </c>
      <c r="E69" s="136">
        <f t="shared" si="5"/>
        <v>-41676.94</v>
      </c>
    </row>
    <row r="70" spans="1:5" s="76" customFormat="1" ht="26.25" thickBot="1">
      <c r="A70" s="103" t="s">
        <v>176</v>
      </c>
      <c r="B70" s="149">
        <v>50800</v>
      </c>
      <c r="C70" s="105">
        <v>9123.06</v>
      </c>
      <c r="D70" s="151">
        <f t="shared" si="4"/>
        <v>17.958779527559056</v>
      </c>
      <c r="E70" s="152">
        <f t="shared" si="5"/>
        <v>-41676.94</v>
      </c>
    </row>
    <row r="71" spans="1:5" s="76" customFormat="1" ht="13.5" thickBot="1">
      <c r="A71" s="147" t="s">
        <v>50</v>
      </c>
      <c r="B71" s="208">
        <f>SUM(B72)</f>
        <v>600</v>
      </c>
      <c r="C71" s="208">
        <f>SUM(C72)</f>
        <v>0</v>
      </c>
      <c r="D71" s="135">
        <f t="shared" si="4"/>
        <v>0</v>
      </c>
      <c r="E71" s="136">
        <f t="shared" si="5"/>
        <v>-600</v>
      </c>
    </row>
    <row r="72" spans="1:5" s="76" customFormat="1" ht="13.5" thickBot="1">
      <c r="A72" s="103" t="s">
        <v>244</v>
      </c>
      <c r="B72" s="149">
        <v>600</v>
      </c>
      <c r="C72" s="105">
        <v>0</v>
      </c>
      <c r="D72" s="151">
        <f t="shared" si="4"/>
        <v>0</v>
      </c>
      <c r="E72" s="152">
        <f t="shared" si="5"/>
        <v>-600</v>
      </c>
    </row>
    <row r="73" spans="1:5" s="76" customFormat="1" ht="13.5" thickBot="1">
      <c r="A73" s="147" t="s">
        <v>51</v>
      </c>
      <c r="B73" s="208">
        <f>B74</f>
        <v>387900</v>
      </c>
      <c r="C73" s="208">
        <f>C74</f>
        <v>27500</v>
      </c>
      <c r="D73" s="135">
        <f t="shared" si="4"/>
        <v>7.089456045372519</v>
      </c>
      <c r="E73" s="136">
        <f t="shared" si="5"/>
        <v>-360400</v>
      </c>
    </row>
    <row r="74" spans="1:5" s="76" customFormat="1" ht="12.75">
      <c r="A74" s="145" t="s">
        <v>285</v>
      </c>
      <c r="B74" s="146">
        <f>SUM(B75:B77)</f>
        <v>387900</v>
      </c>
      <c r="C74" s="146">
        <f>C75+C76+C77</f>
        <v>27500</v>
      </c>
      <c r="D74" s="106">
        <f t="shared" si="4"/>
        <v>7.089456045372519</v>
      </c>
      <c r="E74" s="107">
        <f t="shared" si="5"/>
        <v>-360400</v>
      </c>
    </row>
    <row r="75" spans="1:5" s="76" customFormat="1" ht="25.5">
      <c r="A75" s="103" t="s">
        <v>315</v>
      </c>
      <c r="B75" s="149">
        <v>219400</v>
      </c>
      <c r="C75" s="149">
        <v>0</v>
      </c>
      <c r="D75" s="151"/>
      <c r="E75" s="152"/>
    </row>
    <row r="76" spans="1:5" s="76" customFormat="1" ht="25.5">
      <c r="A76" s="91" t="s">
        <v>286</v>
      </c>
      <c r="B76" s="129">
        <v>88500</v>
      </c>
      <c r="C76" s="129">
        <v>0</v>
      </c>
      <c r="D76" s="131">
        <f t="shared" si="4"/>
        <v>0</v>
      </c>
      <c r="E76" s="132">
        <f t="shared" si="5"/>
        <v>-88500</v>
      </c>
    </row>
    <row r="77" spans="1:5" s="76" customFormat="1" ht="26.25" thickBot="1">
      <c r="A77" s="91" t="s">
        <v>287</v>
      </c>
      <c r="B77" s="149">
        <v>80000</v>
      </c>
      <c r="C77" s="149">
        <v>27500</v>
      </c>
      <c r="D77" s="151"/>
      <c r="E77" s="152"/>
    </row>
    <row r="78" spans="1:5" s="76" customFormat="1" ht="13.5" thickBot="1">
      <c r="A78" s="147" t="s">
        <v>16</v>
      </c>
      <c r="B78" s="208">
        <f>B81+B83+B87</f>
        <v>191000</v>
      </c>
      <c r="C78" s="208">
        <f>SUM(C83,C87,)</f>
        <v>43833.07</v>
      </c>
      <c r="D78" s="135">
        <f>IF(B78=0,"   ",C78/B78*100)</f>
        <v>22.94925130890052</v>
      </c>
      <c r="E78" s="136">
        <f>C78-B78</f>
        <v>-147166.93</v>
      </c>
    </row>
    <row r="79" spans="1:5" s="76" customFormat="1" ht="12.75" customHeight="1" hidden="1">
      <c r="A79" s="145" t="s">
        <v>53</v>
      </c>
      <c r="B79" s="146" t="e">
        <f>SUM(#REF!,B87,#REF!)</f>
        <v>#REF!</v>
      </c>
      <c r="C79" s="146" t="e">
        <f>SUM(#REF!,C87,#REF!)</f>
        <v>#REF!</v>
      </c>
      <c r="D79" s="106" t="e">
        <f>IF(#REF!=0,"   ",C79/#REF!)</f>
        <v>#REF!</v>
      </c>
      <c r="E79" s="107" t="e">
        <f>C79-#REF!</f>
        <v>#REF!</v>
      </c>
    </row>
    <row r="80" spans="1:5" s="76" customFormat="1" ht="12.75" customHeight="1" hidden="1">
      <c r="A80" s="47" t="s">
        <v>25</v>
      </c>
      <c r="B80" s="31">
        <v>851563</v>
      </c>
      <c r="C80" s="86">
        <v>851563</v>
      </c>
      <c r="D80" s="83" t="e">
        <f>IF(#REF!=0,"   ",C80/#REF!)</f>
        <v>#REF!</v>
      </c>
      <c r="E80" s="84" t="e">
        <f>C80-#REF!</f>
        <v>#REF!</v>
      </c>
    </row>
    <row r="81" spans="1:5" s="76" customFormat="1" ht="12.75">
      <c r="A81" s="47" t="s">
        <v>17</v>
      </c>
      <c r="B81" s="31">
        <v>0</v>
      </c>
      <c r="C81" s="31">
        <f>SUM(C83:C84)</f>
        <v>0</v>
      </c>
      <c r="D81" s="83" t="str">
        <f>IF(B81=0,"   ",C81/B81*100)</f>
        <v>   </v>
      </c>
      <c r="E81" s="84">
        <f>C81-B81</f>
        <v>0</v>
      </c>
    </row>
    <row r="82" spans="1:5" s="76" customFormat="1" ht="12.75">
      <c r="A82" s="47" t="s">
        <v>144</v>
      </c>
      <c r="B82" s="31">
        <v>0</v>
      </c>
      <c r="C82" s="86">
        <v>0</v>
      </c>
      <c r="D82" s="83" t="str">
        <f>IF(B82=0,"   ",C82/B82*100)</f>
        <v>   </v>
      </c>
      <c r="E82" s="84">
        <f>C82-B82</f>
        <v>0</v>
      </c>
    </row>
    <row r="83" spans="1:5" s="76" customFormat="1" ht="12.75">
      <c r="A83" s="47" t="s">
        <v>130</v>
      </c>
      <c r="B83" s="31">
        <v>0</v>
      </c>
      <c r="C83" s="31">
        <f>SUM(C84:C85)</f>
        <v>0</v>
      </c>
      <c r="D83" s="83" t="str">
        <f aca="true" t="shared" si="6" ref="D83:D119">IF(B83=0,"   ",C83/B83*100)</f>
        <v>   </v>
      </c>
      <c r="E83" s="84">
        <f aca="true" t="shared" si="7" ref="E83:E119">C83-B83</f>
        <v>0</v>
      </c>
    </row>
    <row r="84" spans="1:5" s="76" customFormat="1" ht="12.75">
      <c r="A84" s="47" t="s">
        <v>161</v>
      </c>
      <c r="B84" s="31">
        <v>0</v>
      </c>
      <c r="C84" s="86">
        <v>0</v>
      </c>
      <c r="D84" s="83" t="str">
        <f t="shared" si="6"/>
        <v>   </v>
      </c>
      <c r="E84" s="84">
        <f t="shared" si="7"/>
        <v>0</v>
      </c>
    </row>
    <row r="85" spans="1:5" s="76" customFormat="1" ht="12.75">
      <c r="A85" s="47" t="s">
        <v>162</v>
      </c>
      <c r="B85" s="31">
        <v>0</v>
      </c>
      <c r="C85" s="86">
        <v>0</v>
      </c>
      <c r="D85" s="83" t="str">
        <f t="shared" si="6"/>
        <v>   </v>
      </c>
      <c r="E85" s="84">
        <f t="shared" si="7"/>
        <v>0</v>
      </c>
    </row>
    <row r="86" spans="1:5" s="76" customFormat="1" ht="12.75">
      <c r="A86" s="47" t="s">
        <v>175</v>
      </c>
      <c r="B86" s="31">
        <v>0</v>
      </c>
      <c r="C86" s="86">
        <v>0</v>
      </c>
      <c r="D86" s="83" t="str">
        <f t="shared" si="6"/>
        <v>   </v>
      </c>
      <c r="E86" s="84">
        <f t="shared" si="7"/>
        <v>0</v>
      </c>
    </row>
    <row r="87" spans="1:5" s="76" customFormat="1" ht="12.75">
      <c r="A87" s="47" t="s">
        <v>79</v>
      </c>
      <c r="B87" s="31">
        <v>191000</v>
      </c>
      <c r="C87" s="31">
        <v>43833.07</v>
      </c>
      <c r="D87" s="83">
        <f t="shared" si="6"/>
        <v>22.94925130890052</v>
      </c>
      <c r="E87" s="84">
        <f t="shared" si="7"/>
        <v>-147166.93</v>
      </c>
    </row>
    <row r="88" spans="1:5" s="76" customFormat="1" ht="15" customHeight="1">
      <c r="A88" s="47" t="s">
        <v>77</v>
      </c>
      <c r="B88" s="31">
        <v>151000</v>
      </c>
      <c r="C88" s="86">
        <v>43833.07</v>
      </c>
      <c r="D88" s="83">
        <f t="shared" si="6"/>
        <v>29.028523178807948</v>
      </c>
      <c r="E88" s="84">
        <f t="shared" si="7"/>
        <v>-107166.93</v>
      </c>
    </row>
    <row r="89" spans="1:5" s="76" customFormat="1" ht="17.25" customHeight="1" thickBot="1">
      <c r="A89" s="91" t="s">
        <v>78</v>
      </c>
      <c r="B89" s="129">
        <v>40000</v>
      </c>
      <c r="C89" s="144">
        <v>0</v>
      </c>
      <c r="D89" s="131">
        <f t="shared" si="6"/>
        <v>0</v>
      </c>
      <c r="E89" s="132">
        <f t="shared" si="7"/>
        <v>-40000</v>
      </c>
    </row>
    <row r="90" spans="1:5" s="76" customFormat="1" ht="15" customHeight="1" thickBot="1">
      <c r="A90" s="147" t="s">
        <v>24</v>
      </c>
      <c r="B90" s="148">
        <v>6000</v>
      </c>
      <c r="C90" s="148">
        <v>0</v>
      </c>
      <c r="D90" s="135">
        <f t="shared" si="6"/>
        <v>0</v>
      </c>
      <c r="E90" s="136">
        <f t="shared" si="7"/>
        <v>-6000</v>
      </c>
    </row>
    <row r="91" spans="1:5" s="76" customFormat="1" ht="13.5" thickBot="1">
      <c r="A91" s="147" t="s">
        <v>54</v>
      </c>
      <c r="B91" s="209">
        <f>SUM(B92)</f>
        <v>1644100</v>
      </c>
      <c r="C91" s="208">
        <f>SUM(C92)</f>
        <v>385646.87</v>
      </c>
      <c r="D91" s="135">
        <f t="shared" si="6"/>
        <v>23.45641201873365</v>
      </c>
      <c r="E91" s="136">
        <f t="shared" si="7"/>
        <v>-1258453.13</v>
      </c>
    </row>
    <row r="92" spans="1:5" s="76" customFormat="1" ht="12.75">
      <c r="A92" s="145" t="s">
        <v>55</v>
      </c>
      <c r="B92" s="146">
        <v>1644100</v>
      </c>
      <c r="C92" s="153">
        <v>385646.87</v>
      </c>
      <c r="D92" s="106">
        <f t="shared" si="6"/>
        <v>23.45641201873365</v>
      </c>
      <c r="E92" s="107">
        <f t="shared" si="7"/>
        <v>-1258453.13</v>
      </c>
    </row>
    <row r="93" spans="1:5" s="76" customFormat="1" ht="12.75">
      <c r="A93" s="47" t="s">
        <v>206</v>
      </c>
      <c r="B93" s="31"/>
      <c r="C93" s="86"/>
      <c r="D93" s="83" t="str">
        <f t="shared" si="6"/>
        <v>   </v>
      </c>
      <c r="E93" s="84">
        <f t="shared" si="7"/>
        <v>0</v>
      </c>
    </row>
    <row r="94" spans="1:5" s="76" customFormat="1" ht="12.75">
      <c r="A94" s="47" t="s">
        <v>177</v>
      </c>
      <c r="B94" s="31">
        <v>3300</v>
      </c>
      <c r="C94" s="86">
        <v>0</v>
      </c>
      <c r="D94" s="83">
        <f t="shared" si="6"/>
        <v>0</v>
      </c>
      <c r="E94" s="84">
        <f t="shared" si="7"/>
        <v>-3300</v>
      </c>
    </row>
    <row r="95" spans="1:5" s="76" customFormat="1" ht="13.5" thickBot="1">
      <c r="A95" s="91" t="s">
        <v>246</v>
      </c>
      <c r="B95" s="129">
        <v>0</v>
      </c>
      <c r="C95" s="93">
        <v>0</v>
      </c>
      <c r="D95" s="131" t="str">
        <f t="shared" si="6"/>
        <v>   </v>
      </c>
      <c r="E95" s="132">
        <f t="shared" si="7"/>
        <v>0</v>
      </c>
    </row>
    <row r="96" spans="1:5" s="76" customFormat="1" ht="13.5" thickBot="1">
      <c r="A96" s="147" t="s">
        <v>214</v>
      </c>
      <c r="B96" s="209">
        <f>SUM(B97)</f>
        <v>20000</v>
      </c>
      <c r="C96" s="209">
        <f>C97</f>
        <v>0</v>
      </c>
      <c r="D96" s="135">
        <f t="shared" si="6"/>
        <v>0</v>
      </c>
      <c r="E96" s="136">
        <f t="shared" si="7"/>
        <v>-20000</v>
      </c>
    </row>
    <row r="97" spans="1:5" s="76" customFormat="1" ht="13.5" thickBot="1">
      <c r="A97" s="103" t="s">
        <v>56</v>
      </c>
      <c r="B97" s="149">
        <v>20000</v>
      </c>
      <c r="C97" s="150">
        <v>0</v>
      </c>
      <c r="D97" s="151">
        <f t="shared" si="6"/>
        <v>0</v>
      </c>
      <c r="E97" s="152">
        <f t="shared" si="7"/>
        <v>-20000</v>
      </c>
    </row>
    <row r="98" spans="1:5" s="76" customFormat="1" ht="13.5" thickBot="1">
      <c r="A98" s="234" t="s">
        <v>18</v>
      </c>
      <c r="B98" s="208">
        <f>B99</f>
        <v>101300</v>
      </c>
      <c r="C98" s="208">
        <f>SUM(C99)</f>
        <v>0</v>
      </c>
      <c r="D98" s="135">
        <f t="shared" si="6"/>
        <v>0</v>
      </c>
      <c r="E98" s="136">
        <f t="shared" si="7"/>
        <v>-101300</v>
      </c>
    </row>
    <row r="99" spans="1:5" s="76" customFormat="1" ht="12.75">
      <c r="A99" s="145" t="s">
        <v>223</v>
      </c>
      <c r="B99" s="210">
        <f>SUM(B116,B109,B100)</f>
        <v>101300</v>
      </c>
      <c r="C99" s="210">
        <f>SUM(C116,C109,C100)</f>
        <v>0</v>
      </c>
      <c r="D99" s="106">
        <f t="shared" si="6"/>
        <v>0</v>
      </c>
      <c r="E99" s="107">
        <f t="shared" si="7"/>
        <v>-101300</v>
      </c>
    </row>
    <row r="100" spans="1:5" s="76" customFormat="1" ht="12.75">
      <c r="A100" s="158" t="s">
        <v>252</v>
      </c>
      <c r="B100" s="198">
        <f>SUM(B101,B105)</f>
        <v>101300</v>
      </c>
      <c r="C100" s="198">
        <f>SUM(C101,C105)</f>
        <v>0</v>
      </c>
      <c r="D100" s="83">
        <f t="shared" si="6"/>
        <v>0</v>
      </c>
      <c r="E100" s="84">
        <f t="shared" si="7"/>
        <v>-101300</v>
      </c>
    </row>
    <row r="101" spans="1:5" s="76" customFormat="1" ht="24.75" customHeight="1">
      <c r="A101" s="47" t="s">
        <v>224</v>
      </c>
      <c r="B101" s="207">
        <f>SUM(B102:B104)</f>
        <v>101300</v>
      </c>
      <c r="C101" s="207">
        <f>SUM(C102:C104)</f>
        <v>0</v>
      </c>
      <c r="D101" s="83">
        <f t="shared" si="6"/>
        <v>0</v>
      </c>
      <c r="E101" s="84">
        <f t="shared" si="7"/>
        <v>-101300</v>
      </c>
    </row>
    <row r="102" spans="1:5" s="76" customFormat="1" ht="15.75" customHeight="1">
      <c r="A102" s="47" t="s">
        <v>233</v>
      </c>
      <c r="B102" s="31">
        <v>0</v>
      </c>
      <c r="C102" s="86"/>
      <c r="D102" s="83" t="str">
        <f t="shared" si="6"/>
        <v>   </v>
      </c>
      <c r="E102" s="84">
        <f t="shared" si="7"/>
        <v>0</v>
      </c>
    </row>
    <row r="103" spans="1:5" s="76" customFormat="1" ht="13.5" customHeight="1">
      <c r="A103" s="47" t="s">
        <v>234</v>
      </c>
      <c r="B103" s="31"/>
      <c r="C103" s="86"/>
      <c r="D103" s="83" t="str">
        <f t="shared" si="6"/>
        <v>   </v>
      </c>
      <c r="E103" s="84">
        <f t="shared" si="7"/>
        <v>0</v>
      </c>
    </row>
    <row r="104" spans="1:5" s="76" customFormat="1" ht="15" customHeight="1">
      <c r="A104" s="47" t="s">
        <v>235</v>
      </c>
      <c r="B104" s="31">
        <v>101300</v>
      </c>
      <c r="C104" s="86">
        <v>0</v>
      </c>
      <c r="D104" s="83">
        <f t="shared" si="6"/>
        <v>0</v>
      </c>
      <c r="E104" s="84">
        <f t="shared" si="7"/>
        <v>-101300</v>
      </c>
    </row>
    <row r="105" spans="1:5" s="76" customFormat="1" ht="24.75" customHeight="1">
      <c r="A105" s="47" t="s">
        <v>225</v>
      </c>
      <c r="B105" s="207">
        <f>SUM(B106:B108)</f>
        <v>0</v>
      </c>
      <c r="C105" s="207">
        <f>SUM(C106:C108)</f>
        <v>0</v>
      </c>
      <c r="D105" s="83" t="str">
        <f t="shared" si="6"/>
        <v>   </v>
      </c>
      <c r="E105" s="84">
        <f t="shared" si="7"/>
        <v>0</v>
      </c>
    </row>
    <row r="106" spans="1:5" s="76" customFormat="1" ht="15" customHeight="1">
      <c r="A106" s="47" t="s">
        <v>233</v>
      </c>
      <c r="B106" s="31">
        <v>0</v>
      </c>
      <c r="C106" s="86">
        <v>0</v>
      </c>
      <c r="D106" s="83" t="str">
        <f t="shared" si="6"/>
        <v>   </v>
      </c>
      <c r="E106" s="84">
        <f t="shared" si="7"/>
        <v>0</v>
      </c>
    </row>
    <row r="107" spans="1:5" s="76" customFormat="1" ht="12" customHeight="1">
      <c r="A107" s="47" t="s">
        <v>234</v>
      </c>
      <c r="B107" s="31">
        <v>0</v>
      </c>
      <c r="C107" s="86"/>
      <c r="D107" s="83" t="str">
        <f t="shared" si="6"/>
        <v>   </v>
      </c>
      <c r="E107" s="84">
        <f t="shared" si="7"/>
        <v>0</v>
      </c>
    </row>
    <row r="108" spans="1:5" s="76" customFormat="1" ht="14.25" customHeight="1">
      <c r="A108" s="47" t="s">
        <v>235</v>
      </c>
      <c r="B108" s="31"/>
      <c r="C108" s="86"/>
      <c r="D108" s="83" t="str">
        <f t="shared" si="6"/>
        <v>   </v>
      </c>
      <c r="E108" s="84">
        <f t="shared" si="7"/>
        <v>0</v>
      </c>
    </row>
    <row r="109" spans="1:5" s="76" customFormat="1" ht="14.25" customHeight="1">
      <c r="A109" s="158" t="s">
        <v>253</v>
      </c>
      <c r="B109" s="198">
        <f>SUM(B110,B113)</f>
        <v>0</v>
      </c>
      <c r="C109" s="198">
        <f>SUM(C110:C113)</f>
        <v>0</v>
      </c>
      <c r="D109" s="83" t="str">
        <f t="shared" si="6"/>
        <v>   </v>
      </c>
      <c r="E109" s="84">
        <f t="shared" si="7"/>
        <v>0</v>
      </c>
    </row>
    <row r="110" spans="1:5" s="76" customFormat="1" ht="26.25" customHeight="1">
      <c r="A110" s="118" t="s">
        <v>226</v>
      </c>
      <c r="B110" s="211">
        <f>SUM(B111:B112)</f>
        <v>0</v>
      </c>
      <c r="C110" s="211">
        <f>SUM(C111:C112)</f>
        <v>0</v>
      </c>
      <c r="D110" s="83" t="str">
        <f t="shared" si="6"/>
        <v>   </v>
      </c>
      <c r="E110" s="84">
        <f t="shared" si="7"/>
        <v>0</v>
      </c>
    </row>
    <row r="111" spans="1:5" s="76" customFormat="1" ht="14.25" customHeight="1">
      <c r="A111" s="47" t="s">
        <v>234</v>
      </c>
      <c r="B111" s="116">
        <v>0</v>
      </c>
      <c r="C111" s="121"/>
      <c r="D111" s="83" t="str">
        <f t="shared" si="6"/>
        <v>   </v>
      </c>
      <c r="E111" s="84">
        <f t="shared" si="7"/>
        <v>0</v>
      </c>
    </row>
    <row r="112" spans="1:5" s="76" customFormat="1" ht="14.25" customHeight="1">
      <c r="A112" s="47" t="s">
        <v>235</v>
      </c>
      <c r="B112" s="116">
        <v>0</v>
      </c>
      <c r="C112" s="121"/>
      <c r="D112" s="83" t="str">
        <f t="shared" si="6"/>
        <v>   </v>
      </c>
      <c r="E112" s="84">
        <f t="shared" si="7"/>
        <v>0</v>
      </c>
    </row>
    <row r="113" spans="1:5" s="76" customFormat="1" ht="26.25" customHeight="1">
      <c r="A113" s="118" t="s">
        <v>225</v>
      </c>
      <c r="B113" s="211">
        <f>SUM(B114:B115)</f>
        <v>0</v>
      </c>
      <c r="C113" s="211">
        <f>SUM(C114:C115)</f>
        <v>0</v>
      </c>
      <c r="D113" s="83" t="str">
        <f t="shared" si="6"/>
        <v>   </v>
      </c>
      <c r="E113" s="84">
        <f t="shared" si="7"/>
        <v>0</v>
      </c>
    </row>
    <row r="114" spans="1:5" s="76" customFormat="1" ht="14.25" customHeight="1">
      <c r="A114" s="47" t="s">
        <v>234</v>
      </c>
      <c r="B114" s="116">
        <v>0</v>
      </c>
      <c r="C114" s="121"/>
      <c r="D114" s="83" t="str">
        <f t="shared" si="6"/>
        <v>   </v>
      </c>
      <c r="E114" s="84">
        <f t="shared" si="7"/>
        <v>0</v>
      </c>
    </row>
    <row r="115" spans="1:5" s="76" customFormat="1" ht="12.75" customHeight="1">
      <c r="A115" s="47" t="s">
        <v>235</v>
      </c>
      <c r="B115" s="116">
        <v>0</v>
      </c>
      <c r="C115" s="121"/>
      <c r="D115" s="83" t="str">
        <f t="shared" si="6"/>
        <v>   </v>
      </c>
      <c r="E115" s="84">
        <f t="shared" si="7"/>
        <v>0</v>
      </c>
    </row>
    <row r="116" spans="1:5" s="76" customFormat="1" ht="16.5" customHeight="1">
      <c r="A116" s="158" t="s">
        <v>227</v>
      </c>
      <c r="B116" s="198">
        <f>SUM(B117:B119)</f>
        <v>0</v>
      </c>
      <c r="C116" s="198">
        <f>SUM(C117:C119)</f>
        <v>0</v>
      </c>
      <c r="D116" s="83" t="str">
        <f t="shared" si="6"/>
        <v>   </v>
      </c>
      <c r="E116" s="84">
        <f t="shared" si="7"/>
        <v>0</v>
      </c>
    </row>
    <row r="117" spans="1:5" s="76" customFormat="1" ht="16.5" customHeight="1">
      <c r="A117" s="47" t="s">
        <v>233</v>
      </c>
      <c r="B117" s="120">
        <v>0</v>
      </c>
      <c r="C117" s="121">
        <v>0</v>
      </c>
      <c r="D117" s="83" t="str">
        <f t="shared" si="6"/>
        <v>   </v>
      </c>
      <c r="E117" s="84">
        <f t="shared" si="7"/>
        <v>0</v>
      </c>
    </row>
    <row r="118" spans="1:5" s="76" customFormat="1" ht="16.5" customHeight="1">
      <c r="A118" s="47" t="s">
        <v>234</v>
      </c>
      <c r="B118" s="120">
        <v>0</v>
      </c>
      <c r="C118" s="121">
        <v>0</v>
      </c>
      <c r="D118" s="83" t="str">
        <f t="shared" si="6"/>
        <v>   </v>
      </c>
      <c r="E118" s="84">
        <f t="shared" si="7"/>
        <v>0</v>
      </c>
    </row>
    <row r="119" spans="1:5" s="76" customFormat="1" ht="16.5" customHeight="1">
      <c r="A119" s="47" t="s">
        <v>235</v>
      </c>
      <c r="B119" s="120">
        <v>0</v>
      </c>
      <c r="C119" s="121">
        <v>0</v>
      </c>
      <c r="D119" s="83" t="str">
        <f t="shared" si="6"/>
        <v>   </v>
      </c>
      <c r="E119" s="84">
        <f t="shared" si="7"/>
        <v>0</v>
      </c>
    </row>
    <row r="120" spans="1:5" s="76" customFormat="1" ht="16.5" customHeight="1">
      <c r="A120" s="137" t="s">
        <v>19</v>
      </c>
      <c r="B120" s="138">
        <f>SUM(B62,B69,B71,B73,B78,B90,B91,B96,B98,)</f>
        <v>3157400</v>
      </c>
      <c r="C120" s="138">
        <f>SUM(C62,C69,C71,C73,C78,C90,C91,C96,C98,)</f>
        <v>603171.77</v>
      </c>
      <c r="D120" s="139">
        <f>IF(B120=0,"   ",C120/B120*100)</f>
        <v>19.103432254386522</v>
      </c>
      <c r="E120" s="140">
        <f>C120-B120</f>
        <v>-2554228.23</v>
      </c>
    </row>
    <row r="121" spans="1:5" s="76" customFormat="1" ht="13.5" thickBot="1">
      <c r="A121" s="94" t="s">
        <v>210</v>
      </c>
      <c r="B121" s="213">
        <f>B64+B93</f>
        <v>476900</v>
      </c>
      <c r="C121" s="213">
        <f>C64+C93</f>
        <v>90469.95</v>
      </c>
      <c r="D121" s="108">
        <f>IF(B121=0,"   ",C121/B121*100)</f>
        <v>18.970423568882364</v>
      </c>
      <c r="E121" s="109">
        <f>C121-B121</f>
        <v>-386430.05</v>
      </c>
    </row>
    <row r="122" spans="1:5" s="76" customFormat="1" ht="12.75" customHeight="1" hidden="1">
      <c r="A122" s="103" t="s">
        <v>32</v>
      </c>
      <c r="B122" s="104"/>
      <c r="C122" s="105"/>
      <c r="D122" s="106" t="e">
        <f>IF(#REF!=0,"   ",C122/#REF!)</f>
        <v>#REF!</v>
      </c>
      <c r="E122" s="107" t="e">
        <f>C122-#REF!</f>
        <v>#REF!</v>
      </c>
    </row>
    <row r="123" spans="1:5" s="76" customFormat="1" ht="12.75" customHeight="1" hidden="1">
      <c r="A123" s="91" t="s">
        <v>33</v>
      </c>
      <c r="B123" s="92">
        <v>1122919</v>
      </c>
      <c r="C123" s="93">
        <v>815256</v>
      </c>
      <c r="D123" s="83" t="e">
        <f>IF(#REF!=0,"   ",C123/#REF!)</f>
        <v>#REF!</v>
      </c>
      <c r="E123" s="84" t="e">
        <f>C123-#REF!</f>
        <v>#REF!</v>
      </c>
    </row>
    <row r="124" spans="1:5" s="76" customFormat="1" ht="13.5" customHeight="1" hidden="1" thickBot="1">
      <c r="A124" s="94" t="s">
        <v>34</v>
      </c>
      <c r="B124" s="95">
        <v>1700000</v>
      </c>
      <c r="C124" s="96">
        <v>1700000</v>
      </c>
      <c r="D124" s="83" t="e">
        <f>IF(#REF!=0,"   ",C124/#REF!)</f>
        <v>#REF!</v>
      </c>
      <c r="E124" s="84" t="e">
        <f>C124-#REF!</f>
        <v>#REF!</v>
      </c>
    </row>
    <row r="125" spans="1:5" s="76" customFormat="1" ht="23.25" customHeight="1">
      <c r="A125" s="110" t="s">
        <v>249</v>
      </c>
      <c r="B125" s="110"/>
      <c r="C125" s="250"/>
      <c r="D125" s="250"/>
      <c r="E125" s="250"/>
    </row>
    <row r="126" spans="1:5" s="76" customFormat="1" ht="12" customHeight="1">
      <c r="A126" s="110" t="s">
        <v>248</v>
      </c>
      <c r="B126" s="110"/>
      <c r="C126" s="111" t="s">
        <v>250</v>
      </c>
      <c r="D126" s="112"/>
      <c r="E126" s="113"/>
    </row>
    <row r="127" spans="1:5" s="7" customFormat="1" ht="12.75">
      <c r="A127" s="44"/>
      <c r="B127" s="44"/>
      <c r="C127" s="45"/>
      <c r="D127" s="44"/>
      <c r="E127" s="46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  <row r="136" spans="3:5" s="7" customFormat="1" ht="12.75">
      <c r="C136" s="6"/>
      <c r="E136" s="2"/>
    </row>
  </sheetData>
  <mergeCells count="2">
    <mergeCell ref="C125:E125"/>
    <mergeCell ref="A1:E1"/>
  </mergeCells>
  <printOptions horizontalCentered="1" verticalCentered="1"/>
  <pageMargins left="0.5905511811023623" right="0.5905511811023623" top="0.35433070866141736" bottom="0.1968503937007874" header="0.11811023622047245" footer="0.118110236220472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75">
      <selection activeCell="A86" sqref="A86"/>
    </sheetView>
  </sheetViews>
  <sheetFormatPr defaultColWidth="9.00390625" defaultRowHeight="12.75"/>
  <cols>
    <col min="1" max="1" width="79.375" style="0" customWidth="1"/>
    <col min="2" max="2" width="16.125" style="0" customWidth="1"/>
    <col min="3" max="3" width="18.75390625" style="0" customWidth="1"/>
    <col min="4" max="4" width="17.375" style="0" customWidth="1"/>
    <col min="5" max="5" width="19.25390625" style="0" customWidth="1"/>
  </cols>
  <sheetData>
    <row r="1" spans="1:5" ht="18">
      <c r="A1" s="252" t="s">
        <v>313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3" customHeight="1">
      <c r="A4" s="35" t="s">
        <v>1</v>
      </c>
      <c r="B4" s="19" t="s">
        <v>300</v>
      </c>
      <c r="C4" s="32" t="s">
        <v>307</v>
      </c>
      <c r="D4" s="19" t="s">
        <v>274</v>
      </c>
      <c r="E4" s="101" t="s">
        <v>301</v>
      </c>
    </row>
    <row r="5" spans="1:5" ht="12.75">
      <c r="A5" s="13">
        <v>1</v>
      </c>
      <c r="B5" s="97"/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91500</v>
      </c>
      <c r="C7" s="191">
        <f>SUM(C8)</f>
        <v>13658.88</v>
      </c>
      <c r="D7" s="26">
        <f aca="true" t="shared" si="0" ref="D7:D68">IF(B7=0,"   ",C7/B7*100)</f>
        <v>14.927737704918032</v>
      </c>
      <c r="E7" s="49">
        <f aca="true" t="shared" si="1" ref="E7:E89">C7-B7</f>
        <v>-77841.12</v>
      </c>
    </row>
    <row r="8" spans="1:5" ht="12.75">
      <c r="A8" s="16" t="s">
        <v>57</v>
      </c>
      <c r="B8" s="25">
        <v>91500</v>
      </c>
      <c r="C8" s="27">
        <v>13658.88</v>
      </c>
      <c r="D8" s="26">
        <f t="shared" si="0"/>
        <v>14.927737704918032</v>
      </c>
      <c r="E8" s="49">
        <f t="shared" si="1"/>
        <v>-77841.12</v>
      </c>
    </row>
    <row r="9" spans="1:5" ht="12.75">
      <c r="A9" s="16" t="s">
        <v>7</v>
      </c>
      <c r="B9" s="193">
        <f>SUM(B10:B10)</f>
        <v>900</v>
      </c>
      <c r="C9" s="193">
        <f>SUM(C10:C10)</f>
        <v>443.03</v>
      </c>
      <c r="D9" s="26">
        <f t="shared" si="0"/>
        <v>49.22555555555555</v>
      </c>
      <c r="E9" s="49">
        <f t="shared" si="1"/>
        <v>-456.97</v>
      </c>
    </row>
    <row r="10" spans="1:5" ht="15" customHeight="1">
      <c r="A10" s="16" t="s">
        <v>38</v>
      </c>
      <c r="B10" s="25">
        <v>900</v>
      </c>
      <c r="C10" s="27">
        <v>443.03</v>
      </c>
      <c r="D10" s="26">
        <f t="shared" si="0"/>
        <v>49.22555555555555</v>
      </c>
      <c r="E10" s="49">
        <f t="shared" si="1"/>
        <v>-456.97</v>
      </c>
    </row>
    <row r="11" spans="1:5" ht="12.75">
      <c r="A11" s="16" t="s">
        <v>9</v>
      </c>
      <c r="B11" s="193">
        <f>SUM(B12:B13)</f>
        <v>390800</v>
      </c>
      <c r="C11" s="193">
        <f>SUM(C12:C13)</f>
        <v>76253.44</v>
      </c>
      <c r="D11" s="26">
        <f t="shared" si="0"/>
        <v>19.51213920163767</v>
      </c>
      <c r="E11" s="49">
        <f t="shared" si="1"/>
        <v>-314546.56</v>
      </c>
    </row>
    <row r="12" spans="1:5" ht="12" customHeight="1">
      <c r="A12" s="16" t="s">
        <v>185</v>
      </c>
      <c r="B12" s="25">
        <v>40800</v>
      </c>
      <c r="C12" s="33">
        <v>231.99</v>
      </c>
      <c r="D12" s="26">
        <f t="shared" si="0"/>
        <v>0.5686029411764706</v>
      </c>
      <c r="E12" s="49">
        <f t="shared" si="1"/>
        <v>-40568.01</v>
      </c>
    </row>
    <row r="13" spans="1:5" ht="12.75">
      <c r="A13" s="16" t="s">
        <v>10</v>
      </c>
      <c r="B13" s="25">
        <v>350000</v>
      </c>
      <c r="C13" s="27">
        <v>76021.45</v>
      </c>
      <c r="D13" s="26">
        <f t="shared" si="0"/>
        <v>21.720414285714284</v>
      </c>
      <c r="E13" s="49">
        <f t="shared" si="1"/>
        <v>-273978.55</v>
      </c>
    </row>
    <row r="14" spans="1:5" ht="25.5">
      <c r="A14" s="16" t="s">
        <v>127</v>
      </c>
      <c r="B14" s="25">
        <v>0</v>
      </c>
      <c r="C14" s="25">
        <v>603.64</v>
      </c>
      <c r="D14" s="26" t="str">
        <f t="shared" si="0"/>
        <v>   </v>
      </c>
      <c r="E14" s="49">
        <f t="shared" si="1"/>
        <v>603.64</v>
      </c>
    </row>
    <row r="15" spans="1:5" ht="25.5" customHeight="1">
      <c r="A15" s="16" t="s">
        <v>40</v>
      </c>
      <c r="B15" s="193">
        <f>SUM(B16,B17)</f>
        <v>16800</v>
      </c>
      <c r="C15" s="193">
        <f>SUM(C16,C17)</f>
        <v>13.68</v>
      </c>
      <c r="D15" s="26">
        <f t="shared" si="0"/>
        <v>0.08142857142857142</v>
      </c>
      <c r="E15" s="49">
        <f t="shared" si="1"/>
        <v>-16786.32</v>
      </c>
    </row>
    <row r="16" spans="1:5" ht="12.75">
      <c r="A16" s="16" t="s">
        <v>41</v>
      </c>
      <c r="B16" s="25">
        <v>7100</v>
      </c>
      <c r="C16" s="33">
        <v>13.68</v>
      </c>
      <c r="D16" s="26">
        <f t="shared" si="0"/>
        <v>0.19267605633802817</v>
      </c>
      <c r="E16" s="49">
        <f t="shared" si="1"/>
        <v>-7086.32</v>
      </c>
    </row>
    <row r="17" spans="1:5" ht="26.25" customHeight="1">
      <c r="A17" s="16" t="s">
        <v>42</v>
      </c>
      <c r="B17" s="25">
        <v>9700</v>
      </c>
      <c r="C17" s="27">
        <v>0</v>
      </c>
      <c r="D17" s="26">
        <f t="shared" si="0"/>
        <v>0</v>
      </c>
      <c r="E17" s="49">
        <f t="shared" si="1"/>
        <v>-9700</v>
      </c>
    </row>
    <row r="18" spans="1:5" ht="20.25" customHeight="1">
      <c r="A18" s="42" t="s">
        <v>131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5" customHeight="1">
      <c r="A19" s="16" t="s">
        <v>104</v>
      </c>
      <c r="B19" s="193">
        <f>SUM(B20)</f>
        <v>0</v>
      </c>
      <c r="C19" s="193">
        <v>0</v>
      </c>
      <c r="D19" s="26" t="str">
        <f t="shared" si="0"/>
        <v>   </v>
      </c>
      <c r="E19" s="49">
        <f t="shared" si="1"/>
        <v>0</v>
      </c>
    </row>
    <row r="20" spans="1:5" ht="27" customHeight="1">
      <c r="A20" s="16" t="s">
        <v>105</v>
      </c>
      <c r="B20" s="24">
        <v>0</v>
      </c>
      <c r="C20" s="33">
        <v>0</v>
      </c>
      <c r="D20" s="26"/>
      <c r="E20" s="49">
        <f t="shared" si="1"/>
        <v>0</v>
      </c>
    </row>
    <row r="21" spans="1:5" ht="12.75">
      <c r="A21" s="16" t="s">
        <v>44</v>
      </c>
      <c r="B21" s="193">
        <f>SUM(B22)</f>
        <v>0</v>
      </c>
      <c r="C21" s="193">
        <f>C22</f>
        <v>0</v>
      </c>
      <c r="D21" s="26" t="str">
        <f t="shared" si="0"/>
        <v>   </v>
      </c>
      <c r="E21" s="49">
        <f t="shared" si="1"/>
        <v>0</v>
      </c>
    </row>
    <row r="22" spans="1:5" ht="14.25" customHeight="1">
      <c r="A22" s="16" t="s">
        <v>66</v>
      </c>
      <c r="B22" s="25">
        <v>0</v>
      </c>
      <c r="C22" s="27">
        <v>0</v>
      </c>
      <c r="D22" s="26" t="str">
        <f t="shared" si="0"/>
        <v>   </v>
      </c>
      <c r="E22" s="49">
        <f t="shared" si="1"/>
        <v>0</v>
      </c>
    </row>
    <row r="23" spans="1:5" ht="14.2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4" t="s">
        <v>11</v>
      </c>
      <c r="B24" s="217">
        <f>B7+B9+B11+B15+B18+B19+B21+B23</f>
        <v>500000</v>
      </c>
      <c r="C24" s="165">
        <f>SUM(C7,C9,C11,C14,C15,C18,C19,C21,C23,)</f>
        <v>90972.67</v>
      </c>
      <c r="D24" s="166">
        <f t="shared" si="0"/>
        <v>18.194533999999997</v>
      </c>
      <c r="E24" s="167">
        <f t="shared" si="1"/>
        <v>-409027.33</v>
      </c>
    </row>
    <row r="25" spans="1:5" ht="17.25" customHeight="1">
      <c r="A25" s="17" t="s">
        <v>46</v>
      </c>
      <c r="B25" s="24">
        <v>969800</v>
      </c>
      <c r="C25" s="24">
        <v>317850</v>
      </c>
      <c r="D25" s="26">
        <f t="shared" si="0"/>
        <v>32.77479892761394</v>
      </c>
      <c r="E25" s="49">
        <f t="shared" si="1"/>
        <v>-651950</v>
      </c>
    </row>
    <row r="26" spans="1:5" ht="28.5" customHeight="1">
      <c r="A26" s="16" t="s">
        <v>63</v>
      </c>
      <c r="B26" s="25">
        <v>492200</v>
      </c>
      <c r="C26" s="27">
        <v>50000</v>
      </c>
      <c r="D26" s="26">
        <f t="shared" si="0"/>
        <v>10.158472165786266</v>
      </c>
      <c r="E26" s="49">
        <f t="shared" si="1"/>
        <v>-442200</v>
      </c>
    </row>
    <row r="27" spans="1:5" ht="44.25" customHeight="1">
      <c r="A27" s="200" t="s">
        <v>67</v>
      </c>
      <c r="B27" s="201">
        <v>50800</v>
      </c>
      <c r="C27" s="205">
        <v>50300</v>
      </c>
      <c r="D27" s="202">
        <f t="shared" si="0"/>
        <v>99.01574803149606</v>
      </c>
      <c r="E27" s="203">
        <f t="shared" si="1"/>
        <v>-500</v>
      </c>
    </row>
    <row r="28" spans="1:5" ht="26.25" customHeight="1">
      <c r="A28" s="16" t="s">
        <v>68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52.5" customHeight="1">
      <c r="A29" s="16" t="s">
        <v>108</v>
      </c>
      <c r="B29" s="25">
        <v>777900</v>
      </c>
      <c r="C29" s="27">
        <v>0</v>
      </c>
      <c r="D29" s="26">
        <f t="shared" si="0"/>
        <v>0</v>
      </c>
      <c r="E29" s="49">
        <f t="shared" si="1"/>
        <v>-777900</v>
      </c>
    </row>
    <row r="30" spans="1:5" ht="25.5" customHeight="1">
      <c r="A30" s="16" t="s">
        <v>121</v>
      </c>
      <c r="B30" s="25">
        <v>0</v>
      </c>
      <c r="C30" s="27">
        <v>0</v>
      </c>
      <c r="D30" s="26" t="str">
        <f t="shared" si="0"/>
        <v>   </v>
      </c>
      <c r="E30" s="49">
        <f t="shared" si="1"/>
        <v>0</v>
      </c>
    </row>
    <row r="31" spans="1:5" ht="27" customHeight="1">
      <c r="A31" s="16" t="s">
        <v>76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27.75" customHeight="1">
      <c r="A32" s="200" t="s">
        <v>149</v>
      </c>
      <c r="B32" s="201">
        <v>6600</v>
      </c>
      <c r="C32" s="201">
        <v>0</v>
      </c>
      <c r="D32" s="202">
        <f t="shared" si="0"/>
        <v>0</v>
      </c>
      <c r="E32" s="203">
        <f t="shared" si="1"/>
        <v>-6600</v>
      </c>
    </row>
    <row r="33" spans="1:5" ht="18" customHeight="1">
      <c r="A33" s="16" t="s">
        <v>109</v>
      </c>
      <c r="B33" s="194">
        <f>B34</f>
        <v>191300</v>
      </c>
      <c r="C33" s="194">
        <f>C34</f>
        <v>0</v>
      </c>
      <c r="D33" s="26">
        <f t="shared" si="0"/>
        <v>0</v>
      </c>
      <c r="E33" s="49">
        <f t="shared" si="1"/>
        <v>-191300</v>
      </c>
    </row>
    <row r="34" spans="1:5" s="7" customFormat="1" ht="14.25" customHeight="1">
      <c r="A34" s="16" t="s">
        <v>180</v>
      </c>
      <c r="B34" s="64">
        <v>191300</v>
      </c>
      <c r="C34" s="27">
        <v>0</v>
      </c>
      <c r="D34" s="26">
        <f t="shared" si="0"/>
        <v>0</v>
      </c>
      <c r="E34" s="43">
        <f t="shared" si="1"/>
        <v>-191300</v>
      </c>
    </row>
    <row r="35" spans="1:5" ht="39" customHeight="1">
      <c r="A35" s="16" t="s">
        <v>150</v>
      </c>
      <c r="B35" s="25">
        <v>0</v>
      </c>
      <c r="C35" s="25">
        <v>0</v>
      </c>
      <c r="D35" s="26" t="str">
        <f t="shared" si="0"/>
        <v>   </v>
      </c>
      <c r="E35" s="49">
        <f t="shared" si="1"/>
        <v>0</v>
      </c>
    </row>
    <row r="36" spans="1:5" ht="25.5" customHeight="1">
      <c r="A36" s="164" t="s">
        <v>14</v>
      </c>
      <c r="B36" s="168">
        <f>SUM(B24,B25,B26:B33,B35,)</f>
        <v>2988600</v>
      </c>
      <c r="C36" s="142">
        <f>SUM(C24,C25,C26:C33,C35,)</f>
        <v>509122.67</v>
      </c>
      <c r="D36" s="249">
        <f t="shared" si="0"/>
        <v>17.035490530683262</v>
      </c>
      <c r="E36" s="167">
        <f t="shared" si="1"/>
        <v>-2479477.33</v>
      </c>
    </row>
    <row r="37" spans="1:5" ht="14.25" customHeight="1">
      <c r="A37" s="30" t="s">
        <v>64</v>
      </c>
      <c r="B37" s="24"/>
      <c r="C37" s="25"/>
      <c r="D37" s="26" t="str">
        <f t="shared" si="0"/>
        <v>   </v>
      </c>
      <c r="E37" s="49"/>
    </row>
    <row r="38" spans="1:5" ht="12.75">
      <c r="A38" s="22" t="s">
        <v>15</v>
      </c>
      <c r="B38" s="51"/>
      <c r="C38" s="52"/>
      <c r="D38" s="26" t="str">
        <f t="shared" si="0"/>
        <v>   </v>
      </c>
      <c r="E38" s="49"/>
    </row>
    <row r="39" spans="1:5" ht="12.75">
      <c r="A39" s="16" t="s">
        <v>48</v>
      </c>
      <c r="B39" s="25">
        <v>755600</v>
      </c>
      <c r="C39" s="25">
        <v>158480.94</v>
      </c>
      <c r="D39" s="26">
        <f t="shared" si="0"/>
        <v>20.97418475383801</v>
      </c>
      <c r="E39" s="49">
        <f t="shared" si="1"/>
        <v>-597119.06</v>
      </c>
    </row>
    <row r="40" spans="1:5" ht="16.5" customHeight="1">
      <c r="A40" s="16" t="s">
        <v>49</v>
      </c>
      <c r="B40" s="25">
        <v>755100</v>
      </c>
      <c r="C40" s="25">
        <v>158480.94</v>
      </c>
      <c r="D40" s="26">
        <f t="shared" si="0"/>
        <v>20.98807310290028</v>
      </c>
      <c r="E40" s="49">
        <f t="shared" si="1"/>
        <v>-596619.06</v>
      </c>
    </row>
    <row r="41" spans="1:5" ht="12.75">
      <c r="A41" s="118" t="s">
        <v>208</v>
      </c>
      <c r="B41" s="25">
        <v>476900</v>
      </c>
      <c r="C41" s="28">
        <v>68335.06</v>
      </c>
      <c r="D41" s="26">
        <f t="shared" si="0"/>
        <v>14.329012371566366</v>
      </c>
      <c r="E41" s="49">
        <f t="shared" si="1"/>
        <v>-408564.94</v>
      </c>
    </row>
    <row r="42" spans="1:5" ht="12.75">
      <c r="A42" s="16" t="s">
        <v>181</v>
      </c>
      <c r="B42" s="25">
        <v>0</v>
      </c>
      <c r="C42" s="28">
        <v>0</v>
      </c>
      <c r="D42" s="26" t="str">
        <f t="shared" si="0"/>
        <v>   </v>
      </c>
      <c r="E42" s="49">
        <f t="shared" si="1"/>
        <v>0</v>
      </c>
    </row>
    <row r="43" spans="1:5" ht="12.75">
      <c r="A43" s="16" t="s">
        <v>148</v>
      </c>
      <c r="B43" s="25">
        <v>500</v>
      </c>
      <c r="C43" s="27">
        <v>0</v>
      </c>
      <c r="D43" s="26">
        <f t="shared" si="0"/>
        <v>0</v>
      </c>
      <c r="E43" s="49">
        <f t="shared" si="1"/>
        <v>-500</v>
      </c>
    </row>
    <row r="44" spans="1:5" ht="12.75">
      <c r="A44" s="16" t="s">
        <v>65</v>
      </c>
      <c r="B44" s="194">
        <f>SUM(B45)</f>
        <v>50800</v>
      </c>
      <c r="C44" s="194">
        <f>SUM(C45)</f>
        <v>6844.38</v>
      </c>
      <c r="D44" s="26">
        <f t="shared" si="0"/>
        <v>13.473188976377953</v>
      </c>
      <c r="E44" s="49">
        <f t="shared" si="1"/>
        <v>-43955.62</v>
      </c>
    </row>
    <row r="45" spans="1:5" ht="27.75" customHeight="1">
      <c r="A45" s="16" t="s">
        <v>176</v>
      </c>
      <c r="B45" s="25">
        <v>50800</v>
      </c>
      <c r="C45" s="27">
        <v>6844.38</v>
      </c>
      <c r="D45" s="26">
        <f t="shared" si="0"/>
        <v>13.473188976377953</v>
      </c>
      <c r="E45" s="49">
        <f t="shared" si="1"/>
        <v>-43955.62</v>
      </c>
    </row>
    <row r="46" spans="1:5" ht="18" customHeight="1">
      <c r="A46" s="16" t="s">
        <v>50</v>
      </c>
      <c r="B46" s="193">
        <f>SUM(B47)</f>
        <v>400</v>
      </c>
      <c r="C46" s="194">
        <f>SUM(C47)</f>
        <v>0</v>
      </c>
      <c r="D46" s="26">
        <f t="shared" si="0"/>
        <v>0</v>
      </c>
      <c r="E46" s="49">
        <f t="shared" si="1"/>
        <v>-400</v>
      </c>
    </row>
    <row r="47" spans="1:5" ht="25.5" customHeight="1">
      <c r="A47" s="47" t="s">
        <v>129</v>
      </c>
      <c r="B47" s="25">
        <v>400</v>
      </c>
      <c r="C47" s="27">
        <v>0</v>
      </c>
      <c r="D47" s="26">
        <f t="shared" si="0"/>
        <v>0</v>
      </c>
      <c r="E47" s="49">
        <f t="shared" si="1"/>
        <v>-400</v>
      </c>
    </row>
    <row r="48" spans="1:5" ht="12.75">
      <c r="A48" s="16" t="s">
        <v>51</v>
      </c>
      <c r="B48" s="193">
        <f>B49</f>
        <v>241300</v>
      </c>
      <c r="C48" s="193">
        <f>C49</f>
        <v>0</v>
      </c>
      <c r="D48" s="26">
        <f t="shared" si="0"/>
        <v>0</v>
      </c>
      <c r="E48" s="49">
        <f t="shared" si="1"/>
        <v>-241300</v>
      </c>
    </row>
    <row r="49" spans="1:5" ht="12.75">
      <c r="A49" s="145" t="s">
        <v>285</v>
      </c>
      <c r="B49" s="193">
        <f>B50+B51+B52</f>
        <v>241300</v>
      </c>
      <c r="C49" s="193">
        <f>C50+C51+C52</f>
        <v>0</v>
      </c>
      <c r="D49" s="26"/>
      <c r="E49" s="49"/>
    </row>
    <row r="50" spans="1:5" ht="25.5">
      <c r="A50" s="103" t="s">
        <v>332</v>
      </c>
      <c r="B50" s="193">
        <v>136300</v>
      </c>
      <c r="C50" s="193">
        <v>0</v>
      </c>
      <c r="D50" s="26"/>
      <c r="E50" s="49"/>
    </row>
    <row r="51" spans="1:5" ht="28.5" customHeight="1">
      <c r="A51" s="91" t="s">
        <v>286</v>
      </c>
      <c r="B51" s="193">
        <v>55000</v>
      </c>
      <c r="C51" s="193">
        <v>0</v>
      </c>
      <c r="D51" s="26">
        <f t="shared" si="0"/>
        <v>0</v>
      </c>
      <c r="E51" s="49">
        <f t="shared" si="1"/>
        <v>-55000</v>
      </c>
    </row>
    <row r="52" spans="1:5" ht="30.75" customHeight="1">
      <c r="A52" s="91" t="s">
        <v>287</v>
      </c>
      <c r="B52" s="25">
        <v>50000</v>
      </c>
      <c r="C52" s="25">
        <v>0</v>
      </c>
      <c r="D52" s="26">
        <f t="shared" si="0"/>
        <v>0</v>
      </c>
      <c r="E52" s="49">
        <f t="shared" si="1"/>
        <v>-50000</v>
      </c>
    </row>
    <row r="53" spans="1:5" ht="15.75" customHeight="1">
      <c r="A53" s="16" t="s">
        <v>16</v>
      </c>
      <c r="B53" s="193">
        <f>SUM(B54,)</f>
        <v>202800</v>
      </c>
      <c r="C53" s="193">
        <f>SUM(C54,)</f>
        <v>41246</v>
      </c>
      <c r="D53" s="26">
        <f t="shared" si="0"/>
        <v>20.33826429980276</v>
      </c>
      <c r="E53" s="49">
        <f t="shared" si="1"/>
        <v>-161554</v>
      </c>
    </row>
    <row r="54" spans="1:5" ht="12.75">
      <c r="A54" s="16" t="s">
        <v>79</v>
      </c>
      <c r="B54" s="25">
        <v>202800</v>
      </c>
      <c r="C54" s="25">
        <v>41246</v>
      </c>
      <c r="D54" s="26">
        <f t="shared" si="0"/>
        <v>20.33826429980276</v>
      </c>
      <c r="E54" s="49">
        <f t="shared" si="1"/>
        <v>-161554</v>
      </c>
    </row>
    <row r="55" spans="1:5" ht="12.75">
      <c r="A55" s="16" t="s">
        <v>81</v>
      </c>
      <c r="B55" s="25">
        <v>202800</v>
      </c>
      <c r="C55" s="27">
        <v>41246</v>
      </c>
      <c r="D55" s="26">
        <f t="shared" si="0"/>
        <v>20.33826429980276</v>
      </c>
      <c r="E55" s="49">
        <f t="shared" si="1"/>
        <v>-161554</v>
      </c>
    </row>
    <row r="56" spans="1:5" ht="12.75">
      <c r="A56" s="16" t="s">
        <v>80</v>
      </c>
      <c r="B56" s="25">
        <v>0</v>
      </c>
      <c r="C56" s="27">
        <v>0</v>
      </c>
      <c r="D56" s="26" t="str">
        <f t="shared" si="0"/>
        <v>   </v>
      </c>
      <c r="E56" s="49">
        <f t="shared" si="1"/>
        <v>0</v>
      </c>
    </row>
    <row r="57" spans="1:5" ht="14.25" customHeight="1">
      <c r="A57" s="18" t="s">
        <v>24</v>
      </c>
      <c r="B57" s="31">
        <v>3000</v>
      </c>
      <c r="C57" s="31">
        <v>0</v>
      </c>
      <c r="D57" s="26">
        <f t="shared" si="0"/>
        <v>0</v>
      </c>
      <c r="E57" s="49">
        <f t="shared" si="1"/>
        <v>-3000</v>
      </c>
    </row>
    <row r="58" spans="1:5" ht="13.5" customHeight="1">
      <c r="A58" s="16" t="s">
        <v>54</v>
      </c>
      <c r="B58" s="191">
        <f>SUM(B59,)</f>
        <v>873500</v>
      </c>
      <c r="C58" s="191">
        <f>SUM(C59,)</f>
        <v>180000</v>
      </c>
      <c r="D58" s="26">
        <f t="shared" si="0"/>
        <v>20.606754436176303</v>
      </c>
      <c r="E58" s="49">
        <f t="shared" si="1"/>
        <v>-693500</v>
      </c>
    </row>
    <row r="59" spans="1:5" ht="12.75">
      <c r="A59" s="16" t="s">
        <v>55</v>
      </c>
      <c r="B59" s="25">
        <v>873500</v>
      </c>
      <c r="C59" s="27">
        <v>180000</v>
      </c>
      <c r="D59" s="26">
        <f t="shared" si="0"/>
        <v>20.606754436176303</v>
      </c>
      <c r="E59" s="49">
        <f t="shared" si="1"/>
        <v>-693500</v>
      </c>
    </row>
    <row r="60" spans="1:5" ht="12.75">
      <c r="A60" s="118" t="s">
        <v>208</v>
      </c>
      <c r="B60" s="25">
        <v>0</v>
      </c>
      <c r="C60" s="27">
        <v>0</v>
      </c>
      <c r="D60" s="26" t="str">
        <f t="shared" si="0"/>
        <v>   </v>
      </c>
      <c r="E60" s="49">
        <f t="shared" si="1"/>
        <v>0</v>
      </c>
    </row>
    <row r="61" spans="1:5" ht="12.75" customHeight="1">
      <c r="A61" s="16" t="s">
        <v>177</v>
      </c>
      <c r="B61" s="25">
        <v>6600</v>
      </c>
      <c r="C61" s="27">
        <v>0</v>
      </c>
      <c r="D61" s="26">
        <f t="shared" si="0"/>
        <v>0</v>
      </c>
      <c r="E61" s="49">
        <f t="shared" si="1"/>
        <v>-6600</v>
      </c>
    </row>
    <row r="62" spans="1:5" ht="12.75" customHeight="1">
      <c r="A62" s="16" t="s">
        <v>202</v>
      </c>
      <c r="B62" s="25">
        <v>0</v>
      </c>
      <c r="C62" s="27">
        <v>0</v>
      </c>
      <c r="D62" s="26" t="str">
        <f t="shared" si="0"/>
        <v>   </v>
      </c>
      <c r="E62" s="49">
        <f t="shared" si="1"/>
        <v>0</v>
      </c>
    </row>
    <row r="63" spans="1:5" ht="12.75">
      <c r="A63" s="200" t="s">
        <v>214</v>
      </c>
      <c r="B63" s="225">
        <f>SUM(B64,)</f>
        <v>20000</v>
      </c>
      <c r="C63" s="225">
        <f>SUM(C64,)</f>
        <v>0</v>
      </c>
      <c r="D63" s="202">
        <f t="shared" si="0"/>
        <v>0</v>
      </c>
      <c r="E63" s="203">
        <f t="shared" si="1"/>
        <v>-20000</v>
      </c>
    </row>
    <row r="64" spans="1:5" ht="12.75">
      <c r="A64" s="200" t="s">
        <v>56</v>
      </c>
      <c r="B64" s="201">
        <v>20000</v>
      </c>
      <c r="C64" s="230">
        <v>0</v>
      </c>
      <c r="D64" s="202">
        <f t="shared" si="0"/>
        <v>0</v>
      </c>
      <c r="E64" s="203">
        <f t="shared" si="1"/>
        <v>-20000</v>
      </c>
    </row>
    <row r="65" spans="1:5" ht="12.75">
      <c r="A65" s="118" t="s">
        <v>18</v>
      </c>
      <c r="B65" s="211">
        <f>B66</f>
        <v>80000</v>
      </c>
      <c r="C65" s="211">
        <f>C66</f>
        <v>0</v>
      </c>
      <c r="D65" s="231">
        <f t="shared" si="0"/>
        <v>0</v>
      </c>
      <c r="E65" s="232">
        <f t="shared" si="1"/>
        <v>-80000</v>
      </c>
    </row>
    <row r="66" spans="1:5" ht="12.75">
      <c r="A66" s="16" t="s">
        <v>223</v>
      </c>
      <c r="B66" s="193">
        <f>SUM(B67,B76,B83)</f>
        <v>80000</v>
      </c>
      <c r="C66" s="193">
        <f>SUM(C67,C76,C83)</f>
        <v>0</v>
      </c>
      <c r="D66" s="26">
        <f t="shared" si="0"/>
        <v>0</v>
      </c>
      <c r="E66" s="49">
        <f t="shared" si="1"/>
        <v>-80000</v>
      </c>
    </row>
    <row r="67" spans="1:5" ht="12.75">
      <c r="A67" s="119" t="s">
        <v>252</v>
      </c>
      <c r="B67" s="198">
        <f>SUM(B68,B72)</f>
        <v>80000</v>
      </c>
      <c r="C67" s="198">
        <f>SUM(C68,C72)</f>
        <v>0</v>
      </c>
      <c r="D67" s="26">
        <f t="shared" si="0"/>
        <v>0</v>
      </c>
      <c r="E67" s="49">
        <f t="shared" si="1"/>
        <v>-80000</v>
      </c>
    </row>
    <row r="68" spans="1:5" ht="25.5">
      <c r="A68" s="16" t="s">
        <v>226</v>
      </c>
      <c r="B68" s="193">
        <f>SUM(B69:B71)</f>
        <v>80000</v>
      </c>
      <c r="C68" s="193">
        <f>SUM(C69:C71)</f>
        <v>0</v>
      </c>
      <c r="D68" s="26">
        <f t="shared" si="0"/>
        <v>0</v>
      </c>
      <c r="E68" s="49">
        <f t="shared" si="1"/>
        <v>-80000</v>
      </c>
    </row>
    <row r="69" spans="1:5" ht="12.75">
      <c r="A69" s="47" t="s">
        <v>233</v>
      </c>
      <c r="B69" s="25">
        <v>0</v>
      </c>
      <c r="C69" s="25"/>
      <c r="D69" s="26" t="str">
        <f aca="true" t="shared" si="2" ref="D69:D88">IF(B69=0,"   ",C69/B69*100)</f>
        <v>   </v>
      </c>
      <c r="E69" s="49">
        <f t="shared" si="1"/>
        <v>0</v>
      </c>
    </row>
    <row r="70" spans="1:5" ht="12.75">
      <c r="A70" s="47" t="s">
        <v>234</v>
      </c>
      <c r="B70" s="25">
        <v>0</v>
      </c>
      <c r="C70" s="25"/>
      <c r="D70" s="26" t="str">
        <f t="shared" si="2"/>
        <v>   </v>
      </c>
      <c r="E70" s="49">
        <f t="shared" si="1"/>
        <v>0</v>
      </c>
    </row>
    <row r="71" spans="1:5" ht="12.75">
      <c r="A71" s="47" t="s">
        <v>235</v>
      </c>
      <c r="B71" s="25">
        <v>80000</v>
      </c>
      <c r="C71" s="25">
        <v>0</v>
      </c>
      <c r="D71" s="26">
        <f t="shared" si="2"/>
        <v>0</v>
      </c>
      <c r="E71" s="49">
        <f t="shared" si="1"/>
        <v>-80000</v>
      </c>
    </row>
    <row r="72" spans="1:5" ht="25.5">
      <c r="A72" s="16" t="s">
        <v>225</v>
      </c>
      <c r="B72" s="193">
        <f>SUM(B73:B75)</f>
        <v>0</v>
      </c>
      <c r="C72" s="193">
        <f>SUM(C73:C75)</f>
        <v>0</v>
      </c>
      <c r="D72" s="26" t="str">
        <f t="shared" si="2"/>
        <v>   </v>
      </c>
      <c r="E72" s="49">
        <f t="shared" si="1"/>
        <v>0</v>
      </c>
    </row>
    <row r="73" spans="1:5" ht="12.75">
      <c r="A73" s="47" t="s">
        <v>233</v>
      </c>
      <c r="B73" s="25">
        <v>0</v>
      </c>
      <c r="C73" s="25"/>
      <c r="D73" s="26" t="str">
        <f t="shared" si="2"/>
        <v>   </v>
      </c>
      <c r="E73" s="49">
        <f t="shared" si="1"/>
        <v>0</v>
      </c>
    </row>
    <row r="74" spans="1:5" ht="12.75">
      <c r="A74" s="47" t="s">
        <v>234</v>
      </c>
      <c r="B74" s="25">
        <v>0</v>
      </c>
      <c r="C74" s="25"/>
      <c r="D74" s="26" t="str">
        <f t="shared" si="2"/>
        <v>   </v>
      </c>
      <c r="E74" s="49">
        <f t="shared" si="1"/>
        <v>0</v>
      </c>
    </row>
    <row r="75" spans="1:5" ht="12.75">
      <c r="A75" s="47" t="s">
        <v>235</v>
      </c>
      <c r="B75" s="25">
        <v>0</v>
      </c>
      <c r="C75" s="25"/>
      <c r="D75" s="26" t="str">
        <f t="shared" si="2"/>
        <v>   </v>
      </c>
      <c r="E75" s="49">
        <f t="shared" si="1"/>
        <v>0</v>
      </c>
    </row>
    <row r="76" spans="1:5" ht="12.75">
      <c r="A76" s="119" t="s">
        <v>222</v>
      </c>
      <c r="B76" s="198">
        <f>SUM(B77,B80)</f>
        <v>0</v>
      </c>
      <c r="C76" s="198">
        <f>SUM(C77,C80)</f>
        <v>0</v>
      </c>
      <c r="D76" s="26" t="str">
        <f t="shared" si="2"/>
        <v>   </v>
      </c>
      <c r="E76" s="49">
        <f t="shared" si="1"/>
        <v>0</v>
      </c>
    </row>
    <row r="77" spans="1:5" ht="25.5">
      <c r="A77" s="16" t="s">
        <v>226</v>
      </c>
      <c r="B77" s="193">
        <f>SUM(B78:B79)</f>
        <v>0</v>
      </c>
      <c r="C77" s="193">
        <f>SUM(C78:C79)</f>
        <v>0</v>
      </c>
      <c r="D77" s="26" t="str">
        <f t="shared" si="2"/>
        <v>   </v>
      </c>
      <c r="E77" s="49">
        <f t="shared" si="1"/>
        <v>0</v>
      </c>
    </row>
    <row r="78" spans="1:5" ht="12.75">
      <c r="A78" s="47" t="s">
        <v>234</v>
      </c>
      <c r="B78" s="25">
        <v>0</v>
      </c>
      <c r="C78" s="25"/>
      <c r="D78" s="26" t="str">
        <f t="shared" si="2"/>
        <v>   </v>
      </c>
      <c r="E78" s="49">
        <f t="shared" si="1"/>
        <v>0</v>
      </c>
    </row>
    <row r="79" spans="1:5" ht="12.75">
      <c r="A79" s="47" t="s">
        <v>235</v>
      </c>
      <c r="B79" s="25">
        <v>0</v>
      </c>
      <c r="C79" s="25"/>
      <c r="D79" s="26" t="str">
        <f t="shared" si="2"/>
        <v>   </v>
      </c>
      <c r="E79" s="49">
        <f t="shared" si="1"/>
        <v>0</v>
      </c>
    </row>
    <row r="80" spans="1:5" ht="25.5">
      <c r="A80" s="16" t="s">
        <v>225</v>
      </c>
      <c r="B80" s="193">
        <f>SUM(B81:B82)</f>
        <v>0</v>
      </c>
      <c r="C80" s="193">
        <f>SUM(C81:C82)</f>
        <v>0</v>
      </c>
      <c r="D80" s="26" t="str">
        <f t="shared" si="2"/>
        <v>   </v>
      </c>
      <c r="E80" s="49">
        <f t="shared" si="1"/>
        <v>0</v>
      </c>
    </row>
    <row r="81" spans="1:5" ht="12.75">
      <c r="A81" s="47" t="s">
        <v>234</v>
      </c>
      <c r="B81" s="25">
        <v>0</v>
      </c>
      <c r="C81" s="25"/>
      <c r="D81" s="26" t="str">
        <f t="shared" si="2"/>
        <v>   </v>
      </c>
      <c r="E81" s="49">
        <f t="shared" si="1"/>
        <v>0</v>
      </c>
    </row>
    <row r="82" spans="1:5" ht="12.75">
      <c r="A82" s="47" t="s">
        <v>235</v>
      </c>
      <c r="B82" s="25">
        <v>0</v>
      </c>
      <c r="C82" s="25"/>
      <c r="D82" s="26" t="str">
        <f t="shared" si="2"/>
        <v>   </v>
      </c>
      <c r="E82" s="49">
        <f t="shared" si="1"/>
        <v>0</v>
      </c>
    </row>
    <row r="83" spans="1:5" ht="12.75">
      <c r="A83" s="119" t="s">
        <v>232</v>
      </c>
      <c r="B83" s="198">
        <f>SUM(B84:B86)</f>
        <v>0</v>
      </c>
      <c r="C83" s="198">
        <f>SUM(C84:C86)</f>
        <v>0</v>
      </c>
      <c r="D83" s="26" t="str">
        <f t="shared" si="2"/>
        <v>   </v>
      </c>
      <c r="E83" s="49">
        <f t="shared" si="1"/>
        <v>0</v>
      </c>
    </row>
    <row r="84" spans="1:5" ht="12.75">
      <c r="A84" s="47" t="s">
        <v>233</v>
      </c>
      <c r="B84" s="120">
        <v>0</v>
      </c>
      <c r="C84" s="120"/>
      <c r="D84" s="26" t="str">
        <f t="shared" si="2"/>
        <v>   </v>
      </c>
      <c r="E84" s="49">
        <f t="shared" si="1"/>
        <v>0</v>
      </c>
    </row>
    <row r="85" spans="1:5" ht="12.75">
      <c r="A85" s="47" t="s">
        <v>234</v>
      </c>
      <c r="B85" s="120">
        <v>0</v>
      </c>
      <c r="C85" s="120"/>
      <c r="D85" s="26" t="str">
        <f t="shared" si="2"/>
        <v>   </v>
      </c>
      <c r="E85" s="49">
        <f t="shared" si="1"/>
        <v>0</v>
      </c>
    </row>
    <row r="86" spans="1:5" ht="12.75">
      <c r="A86" s="47" t="s">
        <v>235</v>
      </c>
      <c r="B86" s="120">
        <v>0</v>
      </c>
      <c r="C86" s="120"/>
      <c r="D86" s="26" t="str">
        <f t="shared" si="2"/>
        <v>   </v>
      </c>
      <c r="E86" s="49">
        <f t="shared" si="1"/>
        <v>0</v>
      </c>
    </row>
    <row r="87" spans="1:5" ht="38.25">
      <c r="A87" s="47" t="s">
        <v>333</v>
      </c>
      <c r="B87" s="120">
        <v>777900</v>
      </c>
      <c r="C87" s="120">
        <v>0</v>
      </c>
      <c r="D87" s="26">
        <f t="shared" si="2"/>
        <v>0</v>
      </c>
      <c r="E87" s="49">
        <f t="shared" si="1"/>
        <v>-777900</v>
      </c>
    </row>
    <row r="88" spans="1:5" ht="21.75" customHeight="1">
      <c r="A88" s="164" t="s">
        <v>19</v>
      </c>
      <c r="B88" s="168">
        <f>SUM(B39,B44,B46,B48,B53,B57,B58,B63,B65,B87)</f>
        <v>3005300</v>
      </c>
      <c r="C88" s="168">
        <f>SUM(C39,C44,C46,C48,C53,C57,C58,C63,C65,C87)</f>
        <v>386571.32</v>
      </c>
      <c r="D88" s="166">
        <f t="shared" si="2"/>
        <v>12.862986057964262</v>
      </c>
      <c r="E88" s="167">
        <f t="shared" si="1"/>
        <v>-2618728.68</v>
      </c>
    </row>
    <row r="89" spans="1:5" ht="15.75" customHeight="1" thickBot="1">
      <c r="A89" s="98" t="s">
        <v>210</v>
      </c>
      <c r="B89" s="212">
        <f>B41+B60</f>
        <v>476900</v>
      </c>
      <c r="C89" s="212">
        <f>C41+C60</f>
        <v>68335.06</v>
      </c>
      <c r="D89" s="99">
        <f>IF(B89=0,"   ",C89/B89*100)</f>
        <v>14.329012371566366</v>
      </c>
      <c r="E89" s="100">
        <f t="shared" si="1"/>
        <v>-408564.94</v>
      </c>
    </row>
    <row r="90" spans="1:5" s="76" customFormat="1" ht="23.25" customHeight="1">
      <c r="A90" s="110" t="s">
        <v>249</v>
      </c>
      <c r="B90" s="110"/>
      <c r="C90" s="250"/>
      <c r="D90" s="250"/>
      <c r="E90" s="250"/>
    </row>
    <row r="91" spans="1:5" s="76" customFormat="1" ht="12" customHeight="1">
      <c r="A91" s="110" t="s">
        <v>248</v>
      </c>
      <c r="B91" s="110"/>
      <c r="C91" s="111" t="s">
        <v>250</v>
      </c>
      <c r="D91" s="112"/>
      <c r="E91" s="113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</sheetData>
  <mergeCells count="2">
    <mergeCell ref="A1:E1"/>
    <mergeCell ref="C90:E90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8"/>
  <sheetViews>
    <sheetView tabSelected="1" workbookViewId="0" topLeftCell="A100">
      <selection activeCell="C141" sqref="C141"/>
    </sheetView>
  </sheetViews>
  <sheetFormatPr defaultColWidth="9.00390625" defaultRowHeight="12.75"/>
  <cols>
    <col min="1" max="1" width="55.375" style="0" customWidth="1"/>
    <col min="2" max="2" width="14.75390625" style="0" customWidth="1"/>
    <col min="3" max="3" width="15.875" style="0" customWidth="1"/>
    <col min="4" max="4" width="14.25390625" style="0" customWidth="1"/>
    <col min="5" max="5" width="15.125" style="0" customWidth="1"/>
  </cols>
  <sheetData>
    <row r="1" spans="1:5" ht="18">
      <c r="A1" s="252" t="s">
        <v>314</v>
      </c>
      <c r="B1" s="252"/>
      <c r="C1" s="252"/>
      <c r="D1" s="252"/>
      <c r="E1" s="252"/>
    </row>
    <row r="2" spans="1:5" ht="9.75" customHeight="1" thickBot="1">
      <c r="A2" s="4"/>
      <c r="B2" s="4"/>
      <c r="C2" s="53"/>
      <c r="D2" s="4"/>
      <c r="E2" s="4" t="s">
        <v>0</v>
      </c>
    </row>
    <row r="3" spans="1:5" ht="93" customHeight="1">
      <c r="A3" s="35" t="s">
        <v>1</v>
      </c>
      <c r="B3" s="19" t="s">
        <v>203</v>
      </c>
      <c r="C3" s="32" t="s">
        <v>303</v>
      </c>
      <c r="D3" s="19" t="s">
        <v>274</v>
      </c>
      <c r="E3" s="101" t="s">
        <v>275</v>
      </c>
    </row>
    <row r="4" spans="1:5" ht="12.75">
      <c r="A4" s="13">
        <v>1</v>
      </c>
      <c r="B4" s="97">
        <v>2</v>
      </c>
      <c r="C4" s="54">
        <v>3</v>
      </c>
      <c r="D4" s="29">
        <v>4</v>
      </c>
      <c r="E4" s="55">
        <v>5</v>
      </c>
    </row>
    <row r="5" spans="1:5" ht="15.75" customHeight="1">
      <c r="A5" s="22" t="s">
        <v>2</v>
      </c>
      <c r="B5" s="11"/>
      <c r="C5" s="56"/>
      <c r="D5" s="25"/>
      <c r="E5" s="57"/>
    </row>
    <row r="6" spans="1:5" ht="12.75">
      <c r="A6" s="17" t="s">
        <v>58</v>
      </c>
      <c r="B6" s="191">
        <f>SUM(B7)</f>
        <v>8492300</v>
      </c>
      <c r="C6" s="191">
        <f>SUM(C7)</f>
        <v>1590680.9999999998</v>
      </c>
      <c r="D6" s="58">
        <f aca="true" t="shared" si="0" ref="D6:D22">IF(B6=0,"   ",C6/B6*100)</f>
        <v>18.730862075056226</v>
      </c>
      <c r="E6" s="59">
        <f aca="true" t="shared" si="1" ref="E6:E46">C6-B6</f>
        <v>-6901619</v>
      </c>
    </row>
    <row r="7" spans="1:5" ht="12.75">
      <c r="A7" s="16" t="s">
        <v>57</v>
      </c>
      <c r="B7" s="193">
        <f>Лист1!B9+Лист2!B7+Лист3!B7+Лист4!B8+Лист5!B8+Лист6!B8+Лист7!B8+Лист8!B8+Лист9!B8+Лист10!B8</f>
        <v>8492300</v>
      </c>
      <c r="C7" s="193">
        <f>Лист1!C9+Лист2!C7+Лист3!C7+Лист4!C8+Лист5!C8+Лист6!C8+Лист7!C8+Лист8!C8+Лист9!C8+Лист10!C8</f>
        <v>1590680.9999999998</v>
      </c>
      <c r="D7" s="58">
        <f t="shared" si="0"/>
        <v>18.730862075056226</v>
      </c>
      <c r="E7" s="59">
        <f t="shared" si="1"/>
        <v>-6901619</v>
      </c>
    </row>
    <row r="8" spans="1:5" ht="12.75">
      <c r="A8" s="16" t="s">
        <v>7</v>
      </c>
      <c r="B8" s="193">
        <f>B9</f>
        <v>196700</v>
      </c>
      <c r="C8" s="193">
        <f>SUM(C9:C9)</f>
        <v>63140.27</v>
      </c>
      <c r="D8" s="58">
        <f t="shared" si="0"/>
        <v>32.09978139298424</v>
      </c>
      <c r="E8" s="59">
        <f t="shared" si="1"/>
        <v>-133559.73</v>
      </c>
    </row>
    <row r="9" spans="1:5" ht="12.75">
      <c r="A9" s="16" t="s">
        <v>38</v>
      </c>
      <c r="B9" s="193">
        <f>Лист1!B16+Лист2!B9+Лист3!B9+Лист4!B10+Лист5!B10+Лист6!B10+Лист7!B10+Лист8!B10+Лист9!B10+Лист10!B10</f>
        <v>196700</v>
      </c>
      <c r="C9" s="193">
        <f>Лист1!C16+Лист2!C9+Лист3!C9+Лист4!C10+Лист5!C10+Лист6!C10+Лист7!C10+Лист8!C10+Лист9!C10+Лист10!C10</f>
        <v>63140.27</v>
      </c>
      <c r="D9" s="58">
        <f t="shared" si="0"/>
        <v>32.09978139298424</v>
      </c>
      <c r="E9" s="59">
        <f t="shared" si="1"/>
        <v>-133559.73</v>
      </c>
    </row>
    <row r="10" spans="1:5" ht="12.75">
      <c r="A10" s="16" t="s">
        <v>9</v>
      </c>
      <c r="B10" s="193">
        <f>SUM(B11:B12)</f>
        <v>5893600</v>
      </c>
      <c r="C10" s="193">
        <f>SUM(C11:C12)</f>
        <v>827442.7699999998</v>
      </c>
      <c r="D10" s="58">
        <f t="shared" si="0"/>
        <v>14.039683215691594</v>
      </c>
      <c r="E10" s="59">
        <f t="shared" si="1"/>
        <v>-5066157.23</v>
      </c>
    </row>
    <row r="11" spans="1:5" ht="12.75">
      <c r="A11" s="16" t="s">
        <v>39</v>
      </c>
      <c r="B11" s="193">
        <f>Лист1!B18+Лист2!B11+Лист3!B11+Лист4!B12+Лист5!B12+Лист6!B12+Лист7!B12+Лист8!B12+Лист9!B12+Лист10!B12</f>
        <v>963400</v>
      </c>
      <c r="C11" s="193">
        <f>Лист1!C18+Лист2!C11+Лист3!C11+Лист4!C12+Лист5!C12+Лист6!C12+Лист7!C12+Лист8!C12+Лист9!C12+Лист10!C12</f>
        <v>27789.19</v>
      </c>
      <c r="D11" s="58">
        <f t="shared" si="0"/>
        <v>2.8844913846792606</v>
      </c>
      <c r="E11" s="59">
        <f t="shared" si="1"/>
        <v>-935610.81</v>
      </c>
    </row>
    <row r="12" spans="1:5" ht="12.75">
      <c r="A12" s="16" t="s">
        <v>10</v>
      </c>
      <c r="B12" s="193">
        <f>Лист1!B19+Лист2!B12+Лист3!B12+Лист4!B13+Лист5!B13+Лист6!B13+Лист7!B13+Лист8!B13+Лист9!B13+Лист10!B13</f>
        <v>4930200</v>
      </c>
      <c r="C12" s="193">
        <f>Лист1!C19+Лист2!C12+Лист3!C12+Лист4!C13+Лист5!C13+Лист6!C13+Лист7!C13+Лист8!C13+Лист9!C13+Лист10!C13</f>
        <v>799653.5799999998</v>
      </c>
      <c r="D12" s="58">
        <f t="shared" si="0"/>
        <v>16.219495760821058</v>
      </c>
      <c r="E12" s="59">
        <f t="shared" si="1"/>
        <v>-4130546.42</v>
      </c>
    </row>
    <row r="13" spans="1:5" ht="38.25">
      <c r="A13" s="16" t="s">
        <v>138</v>
      </c>
      <c r="B13" s="193">
        <v>0</v>
      </c>
      <c r="C13" s="218">
        <f>Лист1!C20+Лист2!C13+Лист3!C13+Лист4!C14+Лист5!C14+Лист6!C14+Лист7!C14+Лист8!C14+Лист9!C14+Лист10!C14</f>
        <v>1365.8</v>
      </c>
      <c r="D13" s="58" t="str">
        <f t="shared" si="0"/>
        <v>   </v>
      </c>
      <c r="E13" s="59">
        <f t="shared" si="1"/>
        <v>1365.8</v>
      </c>
    </row>
    <row r="14" spans="1:5" ht="38.25">
      <c r="A14" s="16" t="s">
        <v>40</v>
      </c>
      <c r="B14" s="193">
        <f>SUM(B15:B16)</f>
        <v>1642400</v>
      </c>
      <c r="C14" s="191">
        <f>SUM(C15:C16)</f>
        <v>283775.31999999995</v>
      </c>
      <c r="D14" s="58">
        <f t="shared" si="0"/>
        <v>17.27808816366293</v>
      </c>
      <c r="E14" s="59">
        <f t="shared" si="1"/>
        <v>-1358624.6800000002</v>
      </c>
    </row>
    <row r="15" spans="1:5" ht="12.75">
      <c r="A15" s="16" t="s">
        <v>41</v>
      </c>
      <c r="B15" s="193">
        <f>Лист1!B22+Лист2!B17+Лист3!B15+Лист4!B16+Лист5!B16+Лист6!B16+Лист7!B16+Лист8!B16+Лист9!B16+Лист10!B16</f>
        <v>1013100</v>
      </c>
      <c r="C15" s="193">
        <f>Лист1!C22+Лист2!C17+Лист3!C15+Лист4!C16+Лист5!C16+Лист6!C16+Лист7!C16+Лист8!C16+Лист9!C16+Лист10!C16</f>
        <v>233575.62999999998</v>
      </c>
      <c r="D15" s="58">
        <f t="shared" si="0"/>
        <v>23.055535485144603</v>
      </c>
      <c r="E15" s="59">
        <f t="shared" si="1"/>
        <v>-779524.37</v>
      </c>
    </row>
    <row r="16" spans="1:5" ht="25.5">
      <c r="A16" s="16" t="s">
        <v>42</v>
      </c>
      <c r="B16" s="193">
        <f>Лист1!B23+Лист2!B18+Лист3!B16+Лист4!B17+Лист5!B17+Лист6!B17+Лист7!B17+Лист8!B17+Лист9!B17+Лист10!B17</f>
        <v>629300</v>
      </c>
      <c r="C16" s="193">
        <f>Лист1!C23+Лист2!C18+Лист3!C16+Лист4!C17+Лист5!C17+Лист6!C17+Лист7!C17+Лист8!C17+Лист9!C17+Лист10!C17</f>
        <v>50199.69</v>
      </c>
      <c r="D16" s="58">
        <f t="shared" si="0"/>
        <v>7.977068170983633</v>
      </c>
      <c r="E16" s="59">
        <f t="shared" si="1"/>
        <v>-579100.31</v>
      </c>
    </row>
    <row r="17" spans="1:5" ht="25.5">
      <c r="A17" s="16" t="s">
        <v>113</v>
      </c>
      <c r="B17" s="193">
        <f>SUM(B18)</f>
        <v>0</v>
      </c>
      <c r="C17" s="193">
        <f>SUM(C18)</f>
        <v>0</v>
      </c>
      <c r="D17" s="58" t="str">
        <f t="shared" si="0"/>
        <v>   </v>
      </c>
      <c r="E17" s="59">
        <f t="shared" si="1"/>
        <v>0</v>
      </c>
    </row>
    <row r="18" spans="1:5" ht="38.25">
      <c r="A18" s="16" t="s">
        <v>116</v>
      </c>
      <c r="B18" s="193">
        <f>Лист1!B24+Лист2!B19+Лист3!B17+Лист4!B18+Лист5!B18+Лист6!B18+Лист7!B21+Лист8!B18+Лист9!B18+Лист10!B18</f>
        <v>0</v>
      </c>
      <c r="C18" s="211">
        <f>Лист1!C24+Лист2!C19+Лист3!C17+Лист4!C18+Лист5!C18+Лист6!C18+Лист7!C21+Лист8!C18+Лист9!C18+Лист10!C18</f>
        <v>0</v>
      </c>
      <c r="D18" s="58" t="str">
        <f t="shared" si="0"/>
        <v>   </v>
      </c>
      <c r="E18" s="59">
        <f t="shared" si="1"/>
        <v>0</v>
      </c>
    </row>
    <row r="19" spans="1:5" ht="25.5">
      <c r="A19" s="16" t="s">
        <v>101</v>
      </c>
      <c r="B19" s="193">
        <f>SUM(B20)</f>
        <v>0</v>
      </c>
      <c r="C19" s="193">
        <f>SUM(C20)</f>
        <v>208104.49</v>
      </c>
      <c r="D19" s="58" t="str">
        <f t="shared" si="0"/>
        <v>   </v>
      </c>
      <c r="E19" s="59">
        <f t="shared" si="1"/>
        <v>208104.49</v>
      </c>
    </row>
    <row r="20" spans="1:5" ht="38.25">
      <c r="A20" s="16" t="s">
        <v>102</v>
      </c>
      <c r="B20" s="193">
        <f>Лист1!B26+Лист2!B15+Лист3!B19+Лист4!B20+Лист5!B19+Лист6!B20+Лист7!B19+Лист8!B20+Лист9!B20+Лист10!B20</f>
        <v>0</v>
      </c>
      <c r="C20" s="193">
        <f>Лист1!C26+Лист2!C15+Лист3!C19+Лист4!C20+Лист5!C19+Лист6!C20+Лист7!C19+Лист8!C20+Лист9!C20+Лист10!C20</f>
        <v>208104.49</v>
      </c>
      <c r="D20" s="58" t="str">
        <f t="shared" si="0"/>
        <v>   </v>
      </c>
      <c r="E20" s="59">
        <f t="shared" si="1"/>
        <v>208104.49</v>
      </c>
    </row>
    <row r="21" spans="1:5" ht="12.75">
      <c r="A21" s="16" t="s">
        <v>43</v>
      </c>
      <c r="B21" s="193">
        <f>Лист7!B25</f>
        <v>0</v>
      </c>
      <c r="C21" s="193">
        <f>Лист2!C23+Лист3!C23+Лист4!C24+Лист5!C24+Лист6!C23+Лист7!C25+Лист8!C24+Лист9!C21+Лист10!C23</f>
        <v>0</v>
      </c>
      <c r="D21" s="58" t="str">
        <f t="shared" si="0"/>
        <v>   </v>
      </c>
      <c r="E21" s="59">
        <f t="shared" si="1"/>
        <v>0</v>
      </c>
    </row>
    <row r="22" spans="1:5" ht="12.75">
      <c r="A22" s="16" t="s">
        <v>44</v>
      </c>
      <c r="B22" s="193">
        <f>B23+B24+B25</f>
        <v>0</v>
      </c>
      <c r="C22" s="193">
        <f>C23+C24+C25</f>
        <v>56330</v>
      </c>
      <c r="D22" s="58" t="str">
        <f t="shared" si="0"/>
        <v>   </v>
      </c>
      <c r="E22" s="59">
        <f t="shared" si="1"/>
        <v>56330</v>
      </c>
    </row>
    <row r="23" spans="1:5" ht="12.75">
      <c r="A23" s="16" t="s">
        <v>59</v>
      </c>
      <c r="B23" s="193">
        <v>0</v>
      </c>
      <c r="C23" s="193">
        <f>Лист3!C21+Лист7!C23+Лист8!C22+Лист4!C23+Лист9!C23</f>
        <v>6319.78</v>
      </c>
      <c r="D23" s="58"/>
      <c r="E23" s="59">
        <f t="shared" si="1"/>
        <v>6319.78</v>
      </c>
    </row>
    <row r="24" spans="1:5" ht="25.5">
      <c r="A24" s="16" t="s">
        <v>166</v>
      </c>
      <c r="B24" s="193">
        <f>Лист1!B30+Лист2!B21+Лист3!B21</f>
        <v>0</v>
      </c>
      <c r="C24" s="193">
        <f>Лист1!C30+Лист2!C21</f>
        <v>0</v>
      </c>
      <c r="D24" s="58"/>
      <c r="E24" s="59">
        <f t="shared" si="1"/>
        <v>0</v>
      </c>
    </row>
    <row r="25" spans="1:5" ht="12.75">
      <c r="A25" s="16" t="s">
        <v>66</v>
      </c>
      <c r="B25" s="193">
        <f>Лист1!B31+Лист2!B22+Лист3!B22+Лист4!B22+Лист5!B23+Лист6!B22+Лист7!B24+Лист8!B23+Лист9!B24+Лист10!B22</f>
        <v>0</v>
      </c>
      <c r="C25" s="218">
        <f>Лист1!C31+Лист2!C22+Лист3!C22+Лист4!C22+Лист5!C22+Лист6!C22+Лист7!C24+Лист8!C23+Лист9!C24+Лист10!C22</f>
        <v>50010.22</v>
      </c>
      <c r="D25" s="58" t="str">
        <f aca="true" t="shared" si="2" ref="D25:D87">IF(B25=0,"   ",C25/B25*100)</f>
        <v>   </v>
      </c>
      <c r="E25" s="59">
        <f t="shared" si="1"/>
        <v>50010.22</v>
      </c>
    </row>
    <row r="26" spans="1:5" ht="15.75">
      <c r="A26" s="164" t="s">
        <v>11</v>
      </c>
      <c r="B26" s="165">
        <f>SUM(B6,B8,B10,B13,B14,B17,B19,B22,+B21)</f>
        <v>16225000</v>
      </c>
      <c r="C26" s="165">
        <f>SUM(C6,C8,C10,C13,C14,C17,C19,C21,C22,)</f>
        <v>3030839.6499999994</v>
      </c>
      <c r="D26" s="139">
        <f t="shared" si="2"/>
        <v>18.6800594761171</v>
      </c>
      <c r="E26" s="140">
        <f t="shared" si="1"/>
        <v>-13194160.350000001</v>
      </c>
    </row>
    <row r="27" spans="1:5" ht="25.5">
      <c r="A27" s="17" t="s">
        <v>46</v>
      </c>
      <c r="B27" s="191">
        <f>Лист1!B35+Лист2!B25+Лист3!B25+Лист4!B26+Лист5!B26+Лист6!B25+Лист7!B27+Лист8!B27+Лист9!B27+Лист10!B25</f>
        <v>20324000</v>
      </c>
      <c r="C27" s="191">
        <f>Лист1!C35+Лист2!C25+Лист3!C25+Лист4!C26+Лист5!C26+Лист6!C25+Лист7!C27+Лист8!C27+Лист9!C27+Лист10!C25</f>
        <v>4804850</v>
      </c>
      <c r="D27" s="58">
        <f>IF(B27=0,"   ",C27/B27*100)</f>
        <v>23.64126156268451</v>
      </c>
      <c r="E27" s="59">
        <f t="shared" si="1"/>
        <v>-15519150</v>
      </c>
    </row>
    <row r="28" spans="1:5" ht="38.25">
      <c r="A28" s="17" t="s">
        <v>205</v>
      </c>
      <c r="B28" s="191">
        <f>Лист1!B36+Лист2!B26+Лист3!B26+Лист4!B27+Лист5!B27+Лист6!B26+Лист7!B28+Лист8!B28+Лист9!B28+Лист10!B26</f>
        <v>2300000</v>
      </c>
      <c r="C28" s="191">
        <f>Лист1!C36+Лист2!C26+Лист3!C26+Лист4!C27+Лист5!C27+Лист6!C26+Лист7!C28+Лист8!C28+Лист9!C28+Лист10!C26</f>
        <v>180000</v>
      </c>
      <c r="D28" s="58">
        <f>IF(B28=0,"   ",C28/B28*100)</f>
        <v>7.82608695652174</v>
      </c>
      <c r="E28" s="59">
        <f>C28-B28</f>
        <v>-2120000</v>
      </c>
    </row>
    <row r="29" spans="1:5" ht="12.75">
      <c r="A29" s="228" t="s">
        <v>190</v>
      </c>
      <c r="B29" s="215">
        <f>B31+B32+B34+B35+B33</f>
        <v>8131700</v>
      </c>
      <c r="C29" s="215">
        <f>C31+C32+C34+C35+C33</f>
        <v>0</v>
      </c>
      <c r="D29" s="58">
        <f>IF(B29=0,"   ",C29/B29*100)</f>
        <v>0</v>
      </c>
      <c r="E29" s="59">
        <f t="shared" si="1"/>
        <v>-8131700</v>
      </c>
    </row>
    <row r="30" spans="1:5" ht="12.75">
      <c r="A30" s="17" t="s">
        <v>191</v>
      </c>
      <c r="B30" s="191"/>
      <c r="C30" s="191"/>
      <c r="D30" s="58"/>
      <c r="E30" s="59"/>
    </row>
    <row r="31" spans="1:5" ht="25.5">
      <c r="A31" s="16" t="s">
        <v>103</v>
      </c>
      <c r="B31" s="211">
        <f>SUM(Лист1!B39+Лист2!B29+Лист3!B29+Лист4!B31+Лист5!B30+Лист7!B34+Лист8!B32+Лист9!B34+Лист10!B31+Лист6!B29)</f>
        <v>2627900</v>
      </c>
      <c r="C31" s="211">
        <f>Лист1!C39+Лист2!C29+Лист3!C29+Лист4!C31+Лист5!C30+Лист7!C34+Лист8!C32+Лист9!C34+Лист10!C31+Лист6!C29</f>
        <v>0</v>
      </c>
      <c r="D31" s="58">
        <f>IF(B31=0,"   ",C31/B31*100)</f>
        <v>0</v>
      </c>
      <c r="E31" s="59">
        <f>C31-B31</f>
        <v>-2627900</v>
      </c>
    </row>
    <row r="32" spans="1:5" ht="25.5">
      <c r="A32" s="16" t="s">
        <v>269</v>
      </c>
      <c r="B32" s="193">
        <f>Лист8!B31+Лист1!B42+Лист4!B32+Лист5!B31+Лист7!B35+Лист9!B32</f>
        <v>0</v>
      </c>
      <c r="C32" s="193">
        <f>Лист1!C42+Лист4!C32+Лист5!C31+Лист7!C35+Лист8!C31+Лист9!C32</f>
        <v>0</v>
      </c>
      <c r="D32" s="58" t="str">
        <f>IF(B32=0,"   ",C32/B32*100)</f>
        <v>   </v>
      </c>
      <c r="E32" s="59">
        <f>C32-B32</f>
        <v>0</v>
      </c>
    </row>
    <row r="33" spans="1:5" ht="63.75">
      <c r="A33" s="16" t="s">
        <v>273</v>
      </c>
      <c r="B33" s="193">
        <f>Лист8!B35</f>
        <v>0</v>
      </c>
      <c r="C33" s="193">
        <f>Лист8!C35</f>
        <v>0</v>
      </c>
      <c r="D33" s="58"/>
      <c r="E33" s="59"/>
    </row>
    <row r="34" spans="1:5" ht="51">
      <c r="A34" s="16" t="s">
        <v>110</v>
      </c>
      <c r="B34" s="211">
        <f>Лист1!B40+Лист3!B30+Лист4!B30+Лист5!B32+Лист8!B33+Лист9!B33+Лист10!B30</f>
        <v>0</v>
      </c>
      <c r="C34" s="211">
        <f>Лист3!C30+Лист4!C30+Лист5!C32+Лист8!C33+Лист9!C33+Лист10!C30</f>
        <v>0</v>
      </c>
      <c r="D34" s="58" t="str">
        <f>IF(B34=0,"   ",C34/B34*100)</f>
        <v>   </v>
      </c>
      <c r="E34" s="59">
        <f>C34-B34</f>
        <v>0</v>
      </c>
    </row>
    <row r="35" spans="1:5" ht="12.75">
      <c r="A35" s="16" t="s">
        <v>171</v>
      </c>
      <c r="B35" s="193">
        <f>B37+B38+B39+B40</f>
        <v>5503800</v>
      </c>
      <c r="C35" s="193">
        <f>C37+C38+C39+C40</f>
        <v>0</v>
      </c>
      <c r="D35" s="58">
        <f>IF(B35=0,"   ",C35/B35*100)</f>
        <v>0</v>
      </c>
      <c r="E35" s="59">
        <f>C35-B35</f>
        <v>-5503800</v>
      </c>
    </row>
    <row r="36" spans="1:5" ht="12.75">
      <c r="A36" s="16" t="s">
        <v>192</v>
      </c>
      <c r="B36" s="193"/>
      <c r="C36" s="193"/>
      <c r="D36" s="58"/>
      <c r="E36" s="59"/>
    </row>
    <row r="37" spans="1:5" s="76" customFormat="1" ht="25.5">
      <c r="A37" s="47" t="s">
        <v>193</v>
      </c>
      <c r="B37" s="207"/>
      <c r="C37" s="207"/>
      <c r="D37" s="83" t="str">
        <f>IF(B37=0,"   ",C37/B37*100)</f>
        <v>   </v>
      </c>
      <c r="E37" s="84">
        <f>C37-B37</f>
        <v>0</v>
      </c>
    </row>
    <row r="38" spans="1:5" s="76" customFormat="1" ht="51">
      <c r="A38" s="47" t="s">
        <v>195</v>
      </c>
      <c r="B38" s="207">
        <f>Лист1!B45+Лист2!B33+Лист3!B35+Лист4!B36+Лист5!B35+Лист6!B32+Лист8!B39+Лист9!B37+Лист10!B34+Лист7!B37</f>
        <v>5503800</v>
      </c>
      <c r="C38" s="207">
        <f>Лист1!C45+Лист2!C33+Лист3!C35+Лист4!C36+Лист5!C35+Лист6!C32+Лист8!C39+Лист9!C37+Лист10!C34+Лист7!C37</f>
        <v>0</v>
      </c>
      <c r="D38" s="83">
        <f>IF(B38=0,"   ",C38/B38*100)</f>
        <v>0</v>
      </c>
      <c r="E38" s="84">
        <f>C38-B38</f>
        <v>-5503800</v>
      </c>
    </row>
    <row r="39" spans="1:5" s="76" customFormat="1" ht="25.5">
      <c r="A39" s="47" t="s">
        <v>194</v>
      </c>
      <c r="B39" s="207">
        <v>0</v>
      </c>
      <c r="C39" s="207">
        <v>0</v>
      </c>
      <c r="D39" s="83" t="str">
        <f>IF(B39=0,"   ",C39/B39*100)</f>
        <v>   </v>
      </c>
      <c r="E39" s="84">
        <f>C39-B39</f>
        <v>0</v>
      </c>
    </row>
    <row r="40" spans="1:5" s="76" customFormat="1" ht="38.25">
      <c r="A40" s="47" t="s">
        <v>196</v>
      </c>
      <c r="B40" s="207">
        <f>Лист1!B44</f>
        <v>0</v>
      </c>
      <c r="C40" s="207">
        <f>Лист1!C44</f>
        <v>0</v>
      </c>
      <c r="D40" s="83" t="str">
        <f>IF(B40=0,"   ",C40/B40*100)</f>
        <v>   </v>
      </c>
      <c r="E40" s="84">
        <f>C40-B40</f>
        <v>0</v>
      </c>
    </row>
    <row r="41" spans="1:5" s="76" customFormat="1" ht="12.75">
      <c r="A41" s="228" t="s">
        <v>26</v>
      </c>
      <c r="B41" s="219">
        <f>B43+B44+B45</f>
        <v>3940200</v>
      </c>
      <c r="C41" s="207">
        <f>C43+C44+C45</f>
        <v>854900</v>
      </c>
      <c r="D41" s="83">
        <f>IF(B41=0,"   ",C41/B41*100)</f>
        <v>21.69686817928024</v>
      </c>
      <c r="E41" s="84">
        <f>C41-B41</f>
        <v>-3085300</v>
      </c>
    </row>
    <row r="42" spans="1:5" ht="12.75">
      <c r="A42" s="17" t="s">
        <v>191</v>
      </c>
      <c r="B42" s="191"/>
      <c r="C42" s="191"/>
      <c r="D42" s="58"/>
      <c r="E42" s="59"/>
    </row>
    <row r="43" spans="1:5" ht="51">
      <c r="A43" s="200" t="s">
        <v>67</v>
      </c>
      <c r="B43" s="225">
        <f>Лист1!B37+Лист2!B27+Лист3!B27+Лист4!B28+Лист5!B28+Лист6!B27+Лист7!B29+Лист8!B29+Лист9!B29+Лист10!B27</f>
        <v>863300</v>
      </c>
      <c r="C43" s="225">
        <f>Лист1!C37+Лист2!C27+Лист3!C27+Лист4!C28+Лист5!C28+Лист6!C27+Лист7!C29+Лист8!C29+Лист9!C29+Лист10!C27</f>
        <v>854900</v>
      </c>
      <c r="D43" s="202">
        <f>IF(B43=0,"   ",C43/B43*100)</f>
        <v>99.02698945905247</v>
      </c>
      <c r="E43" s="203">
        <f>C43-B43</f>
        <v>-8400</v>
      </c>
    </row>
    <row r="44" spans="1:5" ht="38.25">
      <c r="A44" s="16" t="s">
        <v>68</v>
      </c>
      <c r="B44" s="193">
        <f>Лист1!B38+Лист2!B28+Лист3!B28+Лист4!B29+Лист5!B29+Лист6!B28+Лист7!B31+Лист8!B30+Лист9!B30+Лист10!B28</f>
        <v>1300</v>
      </c>
      <c r="C44" s="193">
        <f>Лист1!C38+Лист2!C28+Лист3!C28+Лист4!C29+Лист5!C29+Лист6!C28+Лист7!C31+Лист8!C30+Лист9!C30+Лист10!C28</f>
        <v>0</v>
      </c>
      <c r="D44" s="58">
        <f>IF(B44=0,"   ",C44/B44*100)</f>
        <v>0</v>
      </c>
      <c r="E44" s="59">
        <f>C44-B44</f>
        <v>-1300</v>
      </c>
    </row>
    <row r="45" spans="1:5" ht="76.5">
      <c r="A45" s="16" t="s">
        <v>197</v>
      </c>
      <c r="B45" s="211">
        <f>Лист2!B31+Лист4!B86+Лист10!B29+Лист8!B34</f>
        <v>3075600</v>
      </c>
      <c r="C45" s="211">
        <f>Лист2!C31+Лист4!C33+Лист8!C34+Лист10!C29</f>
        <v>0</v>
      </c>
      <c r="D45" s="58">
        <f t="shared" si="2"/>
        <v>0</v>
      </c>
      <c r="E45" s="59">
        <f t="shared" si="1"/>
        <v>-3075600</v>
      </c>
    </row>
    <row r="46" spans="1:5" ht="12.75">
      <c r="A46" s="228" t="s">
        <v>198</v>
      </c>
      <c r="B46" s="211">
        <f>B48+B49</f>
        <v>752800</v>
      </c>
      <c r="C46" s="193">
        <f>C48+C49</f>
        <v>0</v>
      </c>
      <c r="D46" s="58">
        <f t="shared" si="2"/>
        <v>0</v>
      </c>
      <c r="E46" s="59">
        <f t="shared" si="1"/>
        <v>-752800</v>
      </c>
    </row>
    <row r="47" spans="1:5" ht="12.75">
      <c r="A47" s="17" t="s">
        <v>191</v>
      </c>
      <c r="B47" s="191"/>
      <c r="C47" s="191"/>
      <c r="D47" s="58"/>
      <c r="E47" s="59"/>
    </row>
    <row r="48" spans="1:5" ht="63.75">
      <c r="A48" s="16" t="s">
        <v>128</v>
      </c>
      <c r="B48" s="211">
        <f>Лист8!B37</f>
        <v>700000</v>
      </c>
      <c r="C48" s="193">
        <f>Лист8!C37</f>
        <v>0</v>
      </c>
      <c r="D48" s="58">
        <f>IF(B48=0,"   ",C48/B48*100)</f>
        <v>0</v>
      </c>
      <c r="E48" s="59">
        <f>C48-B48</f>
        <v>-700000</v>
      </c>
    </row>
    <row r="49" spans="1:5" ht="51">
      <c r="A49" s="200" t="s">
        <v>149</v>
      </c>
      <c r="B49" s="225">
        <f>Лист1!B41+Лист2!B30+Лист3!B32+Лист4!B34+Лист5!B33+Лист6!B30+Лист7!B36+Лист8!B36+Лист9!B35+Лист10!B32</f>
        <v>52800</v>
      </c>
      <c r="C49" s="225">
        <f>Лист1!C41+Лист2!C30+Лист3!C32+Лист4!C34+Лист5!C33+Лист6!C30+Лист7!C36+Лист8!C36+Лист9!C35+Лист10!C32</f>
        <v>0</v>
      </c>
      <c r="D49" s="202">
        <f>IF(B49=0,"   ",C49/B49*100)</f>
        <v>0</v>
      </c>
      <c r="E49" s="203">
        <f>C49-B49</f>
        <v>-52800</v>
      </c>
    </row>
    <row r="50" spans="1:5" ht="25.5">
      <c r="A50" s="229" t="s">
        <v>117</v>
      </c>
      <c r="B50" s="193">
        <f>Лист8!B26</f>
        <v>0</v>
      </c>
      <c r="C50" s="193">
        <f>Лист8!C26</f>
        <v>0</v>
      </c>
      <c r="D50" s="202" t="str">
        <f>IF(B50=0,"   ",C50/B50*100)</f>
        <v>   </v>
      </c>
      <c r="E50" s="59"/>
    </row>
    <row r="51" spans="1:5" ht="12.75">
      <c r="A51" s="137" t="s">
        <v>163</v>
      </c>
      <c r="B51" s="168">
        <f>B27+B28+B29+B41+B46+B50</f>
        <v>35448700</v>
      </c>
      <c r="C51" s="168">
        <f>C27+C28+C29+C41+C46+C50</f>
        <v>5839750</v>
      </c>
      <c r="D51" s="226">
        <f t="shared" si="2"/>
        <v>16.47380580952193</v>
      </c>
      <c r="E51" s="227">
        <f aca="true" t="shared" si="3" ref="E51:E84">C51-B51</f>
        <v>-29608950</v>
      </c>
    </row>
    <row r="52" spans="1:5" ht="18.75" customHeight="1">
      <c r="A52" s="164" t="s">
        <v>14</v>
      </c>
      <c r="B52" s="165">
        <f>B26+B51</f>
        <v>51673700</v>
      </c>
      <c r="C52" s="165">
        <f>C26+C51</f>
        <v>8870589.649999999</v>
      </c>
      <c r="D52" s="139">
        <f t="shared" si="2"/>
        <v>17.166546328209513</v>
      </c>
      <c r="E52" s="140">
        <f t="shared" si="3"/>
        <v>-42803110.35</v>
      </c>
    </row>
    <row r="53" spans="1:5" ht="25.5">
      <c r="A53" s="30" t="s">
        <v>64</v>
      </c>
      <c r="B53" s="193"/>
      <c r="C53" s="193"/>
      <c r="D53" s="58" t="str">
        <f t="shared" si="2"/>
        <v>   </v>
      </c>
      <c r="E53" s="59">
        <f t="shared" si="3"/>
        <v>0</v>
      </c>
    </row>
    <row r="54" spans="1:5" ht="12.75">
      <c r="A54" s="22" t="s">
        <v>15</v>
      </c>
      <c r="B54" s="220"/>
      <c r="C54" s="221"/>
      <c r="D54" s="58" t="str">
        <f t="shared" si="2"/>
        <v>   </v>
      </c>
      <c r="E54" s="59">
        <f t="shared" si="3"/>
        <v>0</v>
      </c>
    </row>
    <row r="55" spans="1:5" ht="12.75">
      <c r="A55" s="16" t="s">
        <v>48</v>
      </c>
      <c r="B55" s="211">
        <f>Лист1!B62+Лист2!B37+Лист3!B38+Лист4!B39+Лист5!B40+Лист6!B37+Лист7!B41+Лист8!B43+Лист9!B42+Лист10!B39</f>
        <v>9249260</v>
      </c>
      <c r="C55" s="211">
        <f>Лист1!C62+Лист2!C37+Лист3!C38+Лист4!C39+Лист5!C40+Лист6!C37+Лист7!C41+Лист8!C43+Лист9!C42+Лист10!C39</f>
        <v>1569815.7699999998</v>
      </c>
      <c r="D55" s="58">
        <f t="shared" si="2"/>
        <v>16.97233908442405</v>
      </c>
      <c r="E55" s="59">
        <f t="shared" si="3"/>
        <v>-7679444.23</v>
      </c>
    </row>
    <row r="56" spans="1:5" ht="25.5" customHeight="1">
      <c r="A56" s="16" t="s">
        <v>49</v>
      </c>
      <c r="B56" s="211">
        <f>Лист1!B63+Лист2!B38+Лист3!B39+Лист4!B40+Лист5!B41+Лист6!B38+Лист7!B42+Лист8!B44+Лист9!B43+Лист10!B40</f>
        <v>8687760</v>
      </c>
      <c r="C56" s="211">
        <f>Лист1!C63+Лист2!C38+Лист3!C39+Лист4!C40+Лист5!C41+Лист6!C38+Лист7!C42+Лист8!C44+Лист9!C43+Лист10!C40</f>
        <v>1535408.39</v>
      </c>
      <c r="D56" s="58">
        <f t="shared" si="2"/>
        <v>17.673236714642208</v>
      </c>
      <c r="E56" s="59">
        <f t="shared" si="3"/>
        <v>-7152351.61</v>
      </c>
    </row>
    <row r="57" spans="1:5" ht="12.75">
      <c r="A57" s="16" t="s">
        <v>207</v>
      </c>
      <c r="B57" s="211">
        <f>Лист1!B64+Лист2!B39+Лист3!B40+Лист4!B41+Лист5!B42+Лист6!B39+Лист7!B43+Лист8!B45+Лист9!B44+Лист10!B41</f>
        <v>5529078</v>
      </c>
      <c r="C57" s="211">
        <f>Лист1!C64+Лист2!C39+Лист3!C40+Лист4!C41+Лист5!C42+Лист6!C39+Лист7!C43+Лист8!C45+Лист9!C44+Лист10!C41</f>
        <v>1006819.46</v>
      </c>
      <c r="D57" s="58">
        <f t="shared" si="2"/>
        <v>18.20953620115325</v>
      </c>
      <c r="E57" s="59">
        <f t="shared" si="3"/>
        <v>-4522258.54</v>
      </c>
    </row>
    <row r="58" spans="1:5" ht="38.25">
      <c r="A58" s="16" t="s">
        <v>199</v>
      </c>
      <c r="B58" s="211">
        <f>Лист1!B65+Лист2!B40+Лист3!B41+Лист4!B42+Лист5!B43+Лист6!B40+Лист7!B44+Лист8!B46+Лист9!B45+Лист10!B42</f>
        <v>1300</v>
      </c>
      <c r="C58" s="211">
        <f>Лист1!C65+Лист2!C40+Лист3!C41+Лист4!C42+Лист5!C43+Лист6!C40+Лист7!C44+Лист8!C46+Лист9!C45+Лист10!C42</f>
        <v>0</v>
      </c>
      <c r="D58" s="58">
        <f t="shared" si="2"/>
        <v>0</v>
      </c>
      <c r="E58" s="59">
        <f t="shared" si="3"/>
        <v>-1300</v>
      </c>
    </row>
    <row r="59" spans="1:5" ht="12.75">
      <c r="A59" s="16" t="s">
        <v>141</v>
      </c>
      <c r="B59" s="211">
        <f>Лист1!B66+Лист2!B41+Лист3!B42+Лист4!B43+Лист5!B44+Лист6!B41+Лист7!B46+Лист8!B47+Лист9!B46+Лист10!B43</f>
        <v>19500</v>
      </c>
      <c r="C59" s="211">
        <f>Лист1!C66+Лист2!C41+Лист3!C42+Лист4!C43+Лист5!C44+Лист6!C41+Лист7!C46+Лист8!C47+Лист9!C46+Лист10!C43</f>
        <v>0</v>
      </c>
      <c r="D59" s="58">
        <f t="shared" si="2"/>
        <v>0</v>
      </c>
      <c r="E59" s="59">
        <f t="shared" si="3"/>
        <v>-19500</v>
      </c>
    </row>
    <row r="60" spans="1:5" ht="12.75">
      <c r="A60" s="16" t="s">
        <v>69</v>
      </c>
      <c r="B60" s="222">
        <f>B61+B62</f>
        <v>542000</v>
      </c>
      <c r="C60" s="222">
        <f>C61+C62</f>
        <v>34407.38</v>
      </c>
      <c r="D60" s="58">
        <f t="shared" si="2"/>
        <v>6.348225092250923</v>
      </c>
      <c r="E60" s="59">
        <f t="shared" si="3"/>
        <v>-507592.62</v>
      </c>
    </row>
    <row r="61" spans="1:5" ht="25.5">
      <c r="A61" s="16" t="s">
        <v>136</v>
      </c>
      <c r="B61" s="211">
        <f>Лист1!B68+Лист2!B42+Лист3!B44+Лист7!B48+Лист8!B49+Лист9!B48</f>
        <v>142000</v>
      </c>
      <c r="C61" s="211">
        <f>Лист1!C68+Лист2!C42+Лист3!C44+Лист7!C48+Лист8!C49+Лист9!C48</f>
        <v>34407.38</v>
      </c>
      <c r="D61" s="58">
        <f t="shared" si="2"/>
        <v>24.230549295774644</v>
      </c>
      <c r="E61" s="59">
        <f t="shared" si="3"/>
        <v>-107592.62</v>
      </c>
    </row>
    <row r="62" spans="1:5" ht="12.75">
      <c r="A62" s="16" t="s">
        <v>296</v>
      </c>
      <c r="B62" s="211">
        <f>Лист7!B49</f>
        <v>400000</v>
      </c>
      <c r="C62" s="211">
        <f>Лист7!C49</f>
        <v>0</v>
      </c>
      <c r="D62" s="58"/>
      <c r="E62" s="59"/>
    </row>
    <row r="63" spans="1:5" ht="12.75">
      <c r="A63" s="16" t="s">
        <v>65</v>
      </c>
      <c r="B63" s="222">
        <f>SUM(B64)</f>
        <v>863300</v>
      </c>
      <c r="C63" s="222">
        <f>SUM(C64)</f>
        <v>145096.44</v>
      </c>
      <c r="D63" s="58">
        <f t="shared" si="2"/>
        <v>16.807186377852425</v>
      </c>
      <c r="E63" s="59">
        <f t="shared" si="3"/>
        <v>-718203.56</v>
      </c>
    </row>
    <row r="64" spans="1:5" ht="25.5">
      <c r="A64" s="16" t="s">
        <v>176</v>
      </c>
      <c r="B64" s="211">
        <f>Лист1!B70+Лист2!B44+Лист3!B46+Лист4!B45+Лист5!B46+Лист6!B43+Лист7!B51+Лист8!B51+Лист9!B50+Лист10!B45</f>
        <v>863300</v>
      </c>
      <c r="C64" s="211">
        <f>Лист1!C70+Лист2!C44+Лист3!C46+Лист4!C45+Лист5!C46+Лист6!C43+Лист7!C51+Лист8!C51+Лист9!C50+Лист10!C45</f>
        <v>145096.44</v>
      </c>
      <c r="D64" s="58">
        <f t="shared" si="2"/>
        <v>16.807186377852425</v>
      </c>
      <c r="E64" s="59">
        <f t="shared" si="3"/>
        <v>-718203.56</v>
      </c>
    </row>
    <row r="65" spans="1:5" ht="25.5">
      <c r="A65" s="16" t="s">
        <v>50</v>
      </c>
      <c r="B65" s="211">
        <f>Лист1!B71+Лист2!B45+Лист3!B47+Лист4!B46+Лист5!B47+Лист6!B44+Лист7!B52+Лист8!B52+Лист9!B51+Лист10!B46</f>
        <v>257100</v>
      </c>
      <c r="C65" s="211">
        <f>Лист1!C71+Лист2!C45+Лист3!C47+Лист4!C46+Лист5!C47+Лист6!C44+Лист7!C52+Лист8!C52+Лист9!C51+Лист10!C46</f>
        <v>29989.67</v>
      </c>
      <c r="D65" s="58">
        <f t="shared" si="2"/>
        <v>11.664593543368339</v>
      </c>
      <c r="E65" s="59">
        <f t="shared" si="3"/>
        <v>-227110.33000000002</v>
      </c>
    </row>
    <row r="66" spans="1:5" ht="38.25">
      <c r="A66" s="16" t="s">
        <v>125</v>
      </c>
      <c r="B66" s="222">
        <f>Лист7!B53</f>
        <v>188600</v>
      </c>
      <c r="C66" s="222">
        <f>Лист7!C53</f>
        <v>29989.67</v>
      </c>
      <c r="D66" s="58">
        <f t="shared" si="2"/>
        <v>15.901203605514317</v>
      </c>
      <c r="E66" s="59">
        <f t="shared" si="3"/>
        <v>-158610.33000000002</v>
      </c>
    </row>
    <row r="67" spans="1:5" ht="12.75">
      <c r="A67" s="16" t="s">
        <v>142</v>
      </c>
      <c r="B67" s="211">
        <f>Лист7!B54</f>
        <v>180000</v>
      </c>
      <c r="C67" s="211">
        <f>Лист7!C54</f>
        <v>15494.84</v>
      </c>
      <c r="D67" s="58">
        <f t="shared" si="2"/>
        <v>8.608244444444445</v>
      </c>
      <c r="E67" s="59">
        <f t="shared" si="3"/>
        <v>-164505.16</v>
      </c>
    </row>
    <row r="68" spans="1:5" ht="12.75">
      <c r="A68" s="118" t="s">
        <v>207</v>
      </c>
      <c r="B68" s="211">
        <f>Лист7!B55</f>
        <v>129926</v>
      </c>
      <c r="C68" s="211">
        <f>Лист7!C55</f>
        <v>22265.44</v>
      </c>
      <c r="D68" s="26">
        <f t="shared" si="2"/>
        <v>17.137016455520833</v>
      </c>
      <c r="E68" s="49">
        <f t="shared" si="3"/>
        <v>-107660.56</v>
      </c>
    </row>
    <row r="69" spans="1:5" ht="12.75">
      <c r="A69" s="16" t="s">
        <v>143</v>
      </c>
      <c r="B69" s="211">
        <f>Лист1!B72+Лист2!B46+Лист3!B48+Лист4!B47+Лист5!B48+Лист6!B45+Лист7!B56+Лист8!B53+Лист9!B52+Лист10!B47</f>
        <v>68500</v>
      </c>
      <c r="C69" s="211">
        <f>Лист1!C72+Лист2!C46+Лист3!C48+Лист4!C47+Лист5!C48+Лист6!C45+Лист7!C56+Лист8!C53+Лист9!C52+Лист10!C47</f>
        <v>0</v>
      </c>
      <c r="D69" s="58">
        <f t="shared" si="2"/>
        <v>0</v>
      </c>
      <c r="E69" s="59">
        <f t="shared" si="3"/>
        <v>-68500</v>
      </c>
    </row>
    <row r="70" spans="1:5" ht="12.75">
      <c r="A70" s="16" t="s">
        <v>51</v>
      </c>
      <c r="B70" s="218">
        <f>B71</f>
        <v>7353800</v>
      </c>
      <c r="C70" s="218">
        <f>C71</f>
        <v>439364.8</v>
      </c>
      <c r="D70" s="58">
        <f t="shared" si="2"/>
        <v>5.974663439310288</v>
      </c>
      <c r="E70" s="59">
        <f t="shared" si="3"/>
        <v>-6914435.2</v>
      </c>
    </row>
    <row r="71" spans="1:5" ht="12.75">
      <c r="A71" s="145" t="s">
        <v>285</v>
      </c>
      <c r="B71" s="218">
        <f>B72+B73+B74</f>
        <v>7353800</v>
      </c>
      <c r="C71" s="218">
        <f>C72+C73+C74</f>
        <v>439364.8</v>
      </c>
      <c r="D71" s="58"/>
      <c r="E71" s="59"/>
    </row>
    <row r="72" spans="1:5" ht="25.5">
      <c r="A72" s="103" t="s">
        <v>334</v>
      </c>
      <c r="B72" s="218">
        <f>Лист1!B75+Лист2!B49+Лист3!B51+Лист4!B50+Лист5!B51+Лист6!B48+Лист7!B59+Лист8!B56+Лист9!B55+Лист10!B50</f>
        <v>3921100</v>
      </c>
      <c r="C72" s="218">
        <f>Лист1!C75+Лист2!C49+Лист3!C51+Лист4!C50+Лист5!C51+Лист6!C48+Лист7!C59+Лист8!C56+Лист9!C55+Лист10!C50</f>
        <v>0</v>
      </c>
      <c r="D72" s="58"/>
      <c r="E72" s="59"/>
    </row>
    <row r="73" spans="1:5" ht="38.25">
      <c r="A73" s="91" t="s">
        <v>286</v>
      </c>
      <c r="B73" s="218">
        <f>Лист1!B76+Лист2!B50+Лист3!B52+Лист4!B51+Лист5!B52+Лист6!B49+Лист7!B60+Лист8!B57+Лист9!B56+Лист10!B51</f>
        <v>1582700</v>
      </c>
      <c r="C73" s="218">
        <f>Лист1!C76+Лист2!C50+Лист3!C52+Лист4!C51+Лист5!C52+Лист6!C49+Лист7!C60+Лист8!C57+Лист9!C56+Лист10!C51</f>
        <v>0</v>
      </c>
      <c r="D73" s="58"/>
      <c r="E73" s="59"/>
    </row>
    <row r="74" spans="1:5" ht="38.25">
      <c r="A74" s="91" t="s">
        <v>287</v>
      </c>
      <c r="B74" s="218">
        <f>Лист1!B77+Лист2!B51+Лист3!B53+Лист4!B52+Лист5!B53+Лист6!B50+Лист7!B61+Лист8!B58+Лист9!B57+Лист10!B52</f>
        <v>1850000</v>
      </c>
      <c r="C74" s="218">
        <f>Лист1!C77+Лист2!C51+Лист3!C53+Лист4!C52+Лист5!C53+Лист6!C50+Лист7!C61+Лист8!C58+Лист9!C57+Лист10!C52</f>
        <v>439364.8</v>
      </c>
      <c r="D74" s="58"/>
      <c r="E74" s="59"/>
    </row>
    <row r="75" spans="1:5" ht="25.5">
      <c r="A75" s="16" t="s">
        <v>156</v>
      </c>
      <c r="B75" s="193">
        <f>B76+B77+B78</f>
        <v>0</v>
      </c>
      <c r="C75" s="193">
        <f>C76+C77+C78</f>
        <v>0</v>
      </c>
      <c r="D75" s="26" t="str">
        <f t="shared" si="2"/>
        <v>   </v>
      </c>
      <c r="E75" s="49">
        <f t="shared" si="3"/>
        <v>0</v>
      </c>
    </row>
    <row r="76" spans="1:5" ht="12.75">
      <c r="A76" s="16" t="s">
        <v>157</v>
      </c>
      <c r="B76" s="193">
        <v>0</v>
      </c>
      <c r="C76" s="193">
        <v>0</v>
      </c>
      <c r="D76" s="26" t="str">
        <f t="shared" si="2"/>
        <v>   </v>
      </c>
      <c r="E76" s="49">
        <f t="shared" si="3"/>
        <v>0</v>
      </c>
    </row>
    <row r="77" spans="1:5" ht="12.75" customHeight="1">
      <c r="A77" s="16" t="s">
        <v>158</v>
      </c>
      <c r="B77" s="193">
        <v>0</v>
      </c>
      <c r="C77" s="193">
        <v>0</v>
      </c>
      <c r="D77" s="26" t="str">
        <f t="shared" si="2"/>
        <v>   </v>
      </c>
      <c r="E77" s="49">
        <f t="shared" si="3"/>
        <v>0</v>
      </c>
    </row>
    <row r="78" spans="1:5" ht="12.75" customHeight="1">
      <c r="A78" s="16" t="s">
        <v>200</v>
      </c>
      <c r="B78" s="193">
        <v>0</v>
      </c>
      <c r="C78" s="193">
        <v>0</v>
      </c>
      <c r="D78" s="26" t="str">
        <f t="shared" si="2"/>
        <v>   </v>
      </c>
      <c r="E78" s="49">
        <f t="shared" si="3"/>
        <v>0</v>
      </c>
    </row>
    <row r="79" spans="1:5" ht="25.5">
      <c r="A79" s="16" t="s">
        <v>61</v>
      </c>
      <c r="B79" s="193">
        <v>0</v>
      </c>
      <c r="C79" s="193">
        <v>0</v>
      </c>
      <c r="D79" s="58" t="str">
        <f t="shared" si="2"/>
        <v>   </v>
      </c>
      <c r="E79" s="59">
        <f t="shared" si="3"/>
        <v>0</v>
      </c>
    </row>
    <row r="80" spans="1:5" ht="12.75">
      <c r="A80" s="16" t="s">
        <v>160</v>
      </c>
      <c r="B80" s="222">
        <v>0</v>
      </c>
      <c r="C80" s="222">
        <v>0</v>
      </c>
      <c r="D80" s="58" t="str">
        <f t="shared" si="2"/>
        <v>   </v>
      </c>
      <c r="E80" s="59">
        <f t="shared" si="3"/>
        <v>0</v>
      </c>
    </row>
    <row r="81" spans="1:5" ht="25.5">
      <c r="A81" s="16" t="s">
        <v>159</v>
      </c>
      <c r="B81" s="211">
        <v>0</v>
      </c>
      <c r="C81" s="211">
        <v>0</v>
      </c>
      <c r="D81" s="58" t="str">
        <f t="shared" si="2"/>
        <v>   </v>
      </c>
      <c r="E81" s="59">
        <f t="shared" si="3"/>
        <v>0</v>
      </c>
    </row>
    <row r="82" spans="1:5" ht="12.75">
      <c r="A82" s="16" t="s">
        <v>157</v>
      </c>
      <c r="B82" s="211">
        <v>0</v>
      </c>
      <c r="C82" s="211">
        <v>0</v>
      </c>
      <c r="D82" s="58" t="str">
        <f t="shared" si="2"/>
        <v>   </v>
      </c>
      <c r="E82" s="59">
        <f t="shared" si="3"/>
        <v>0</v>
      </c>
    </row>
    <row r="83" spans="1:5" ht="12.75">
      <c r="A83" s="16" t="s">
        <v>158</v>
      </c>
      <c r="B83" s="211">
        <v>0</v>
      </c>
      <c r="C83" s="211">
        <v>0</v>
      </c>
      <c r="D83" s="58" t="str">
        <f t="shared" si="2"/>
        <v>   </v>
      </c>
      <c r="E83" s="59">
        <f t="shared" si="3"/>
        <v>0</v>
      </c>
    </row>
    <row r="84" spans="1:5" ht="25.5">
      <c r="A84" s="16" t="s">
        <v>200</v>
      </c>
      <c r="B84" s="211">
        <v>0</v>
      </c>
      <c r="C84" s="211">
        <v>0</v>
      </c>
      <c r="D84" s="58" t="str">
        <f t="shared" si="2"/>
        <v>   </v>
      </c>
      <c r="E84" s="59">
        <f t="shared" si="3"/>
        <v>0</v>
      </c>
    </row>
    <row r="85" spans="1:5" ht="24">
      <c r="A85" s="42" t="s">
        <v>164</v>
      </c>
      <c r="B85" s="211">
        <v>0</v>
      </c>
      <c r="C85" s="211">
        <v>0</v>
      </c>
      <c r="D85" s="58" t="str">
        <f t="shared" si="2"/>
        <v>   </v>
      </c>
      <c r="E85" s="59">
        <f aca="true" t="shared" si="4" ref="E85:E112">C85-B85</f>
        <v>0</v>
      </c>
    </row>
    <row r="86" spans="1:5" ht="12.75">
      <c r="A86" s="16" t="s">
        <v>16</v>
      </c>
      <c r="B86" s="211">
        <f>SUM(B87,B89,B96,)</f>
        <v>8434450</v>
      </c>
      <c r="C86" s="211">
        <f>SUM(C87,C89,C96,)</f>
        <v>1684710.41</v>
      </c>
      <c r="D86" s="58">
        <f t="shared" si="2"/>
        <v>19.974158480991647</v>
      </c>
      <c r="E86" s="59">
        <f t="shared" si="4"/>
        <v>-6749739.59</v>
      </c>
    </row>
    <row r="87" spans="1:5" ht="12.75">
      <c r="A87" s="16" t="s">
        <v>17</v>
      </c>
      <c r="B87" s="211">
        <f>Лист7!B63+Лист9!B59</f>
        <v>746400</v>
      </c>
      <c r="C87" s="211">
        <f>Лист7!C63+Лист9!C59</f>
        <v>39382.48</v>
      </c>
      <c r="D87" s="58">
        <f t="shared" si="2"/>
        <v>5.276323687031083</v>
      </c>
      <c r="E87" s="59">
        <f t="shared" si="4"/>
        <v>-707017.52</v>
      </c>
    </row>
    <row r="88" spans="1:5" ht="12.75">
      <c r="A88" s="16" t="s">
        <v>132</v>
      </c>
      <c r="B88" s="211">
        <f>Лист7!B64+Лист9!B60+Лист1!B82</f>
        <v>746400</v>
      </c>
      <c r="C88" s="211">
        <f>Лист7!C64+Лист9!C60+Лист1!C81</f>
        <v>39382.48</v>
      </c>
      <c r="D88" s="58">
        <v>0</v>
      </c>
      <c r="E88" s="59">
        <f t="shared" si="4"/>
        <v>-707017.52</v>
      </c>
    </row>
    <row r="89" spans="1:5" ht="12.75">
      <c r="A89" s="16" t="s">
        <v>93</v>
      </c>
      <c r="B89" s="211">
        <f>SUM(B91:B94)</f>
        <v>1140000</v>
      </c>
      <c r="C89" s="211">
        <f>C91+C92+C93+C94+C95</f>
        <v>304170</v>
      </c>
      <c r="D89" s="58">
        <f aca="true" t="shared" si="5" ref="D89:D142">IF(B89=0,"   ",C89/B89*100)</f>
        <v>26.681578947368422</v>
      </c>
      <c r="E89" s="59">
        <f t="shared" si="4"/>
        <v>-835830</v>
      </c>
    </row>
    <row r="90" spans="1:5" ht="12.75">
      <c r="A90" s="16" t="s">
        <v>94</v>
      </c>
      <c r="B90" s="211">
        <f>Лист7!B69</f>
        <v>420000</v>
      </c>
      <c r="C90" s="211">
        <f>Лист7!C69</f>
        <v>210000</v>
      </c>
      <c r="D90" s="58">
        <f t="shared" si="5"/>
        <v>50</v>
      </c>
      <c r="E90" s="59">
        <f t="shared" si="4"/>
        <v>-210000</v>
      </c>
    </row>
    <row r="91" spans="1:5" ht="78" customHeight="1">
      <c r="A91" s="16" t="s">
        <v>213</v>
      </c>
      <c r="B91" s="211">
        <f>Лист7!B70</f>
        <v>300000</v>
      </c>
      <c r="C91" s="211">
        <f>Лист7!C70</f>
        <v>0</v>
      </c>
      <c r="D91" s="58">
        <v>0</v>
      </c>
      <c r="E91" s="59">
        <f>C91-B91</f>
        <v>-300000</v>
      </c>
    </row>
    <row r="92" spans="1:5" ht="76.5" customHeight="1">
      <c r="A92" s="16" t="s">
        <v>212</v>
      </c>
      <c r="B92" s="211">
        <f>Лист7!B71</f>
        <v>0</v>
      </c>
      <c r="C92" s="211">
        <f>Лист7!C71</f>
        <v>0</v>
      </c>
      <c r="D92" s="58">
        <v>0</v>
      </c>
      <c r="E92" s="59">
        <f>C92-B92</f>
        <v>0</v>
      </c>
    </row>
    <row r="93" spans="1:5" ht="12.75">
      <c r="A93" s="16" t="s">
        <v>95</v>
      </c>
      <c r="B93" s="211">
        <f>Лист3!B56+Лист7!B68+Лист6!B54</f>
        <v>840000</v>
      </c>
      <c r="C93" s="211">
        <f>Лист3!C56+Лист7!C68+Лист6!C54</f>
        <v>304170</v>
      </c>
      <c r="D93" s="58">
        <f t="shared" si="5"/>
        <v>36.21071428571428</v>
      </c>
      <c r="E93" s="59">
        <f t="shared" si="4"/>
        <v>-535830</v>
      </c>
    </row>
    <row r="94" spans="1:5" ht="12.75">
      <c r="A94" s="47" t="s">
        <v>162</v>
      </c>
      <c r="B94" s="211">
        <f>Лист1!B85</f>
        <v>0</v>
      </c>
      <c r="C94" s="211">
        <f>Лист1!C85</f>
        <v>0</v>
      </c>
      <c r="D94" s="58" t="str">
        <f t="shared" si="5"/>
        <v>   </v>
      </c>
      <c r="E94" s="59">
        <f t="shared" si="4"/>
        <v>0</v>
      </c>
    </row>
    <row r="95" spans="1:5" ht="12.75">
      <c r="A95" s="47" t="s">
        <v>175</v>
      </c>
      <c r="B95" s="211">
        <f>Лист1!B86</f>
        <v>0</v>
      </c>
      <c r="C95" s="211">
        <f>Лист1!C86</f>
        <v>0</v>
      </c>
      <c r="D95" s="58" t="str">
        <f t="shared" si="5"/>
        <v>   </v>
      </c>
      <c r="E95" s="59">
        <f t="shared" si="4"/>
        <v>0</v>
      </c>
    </row>
    <row r="96" spans="1:5" ht="12.75">
      <c r="A96" s="118" t="s">
        <v>96</v>
      </c>
      <c r="B96" s="211">
        <f>B97+B98+B99+B100+B101</f>
        <v>6548050</v>
      </c>
      <c r="C96" s="211">
        <f>C97+C98+C99+C100+C101</f>
        <v>1341157.93</v>
      </c>
      <c r="D96" s="231">
        <f t="shared" si="5"/>
        <v>20.481791220286954</v>
      </c>
      <c r="E96" s="232">
        <f t="shared" si="4"/>
        <v>-5206892.07</v>
      </c>
    </row>
    <row r="97" spans="1:5" ht="12.75">
      <c r="A97" s="118" t="s">
        <v>81</v>
      </c>
      <c r="B97" s="211">
        <f>Лист1!B88+Лист2!B56+Лист3!B58+Лист4!B55+Лист5!B57+Лист6!B56+Лист7!B73+Лист8!B61+Лист9!B63+Лист10!B55</f>
        <v>3895500</v>
      </c>
      <c r="C97" s="211">
        <f>Лист1!C88+Лист2!C56+Лист3!C58+Лист4!C55+Лист5!C57+Лист6!C56+Лист7!C73+Лист8!C61+Лист9!C63+Лист10!C55</f>
        <v>1083609.01</v>
      </c>
      <c r="D97" s="231">
        <f t="shared" si="5"/>
        <v>27.816942882813507</v>
      </c>
      <c r="E97" s="232">
        <f t="shared" si="4"/>
        <v>-2811890.99</v>
      </c>
    </row>
    <row r="98" spans="1:5" ht="12.75">
      <c r="A98" s="118" t="s">
        <v>97</v>
      </c>
      <c r="B98" s="211">
        <f>Лист7!B74</f>
        <v>300000</v>
      </c>
      <c r="C98" s="211">
        <f>Лист7!C74</f>
        <v>0</v>
      </c>
      <c r="D98" s="231">
        <f t="shared" si="5"/>
        <v>0</v>
      </c>
      <c r="E98" s="232">
        <f t="shared" si="4"/>
        <v>-300000</v>
      </c>
    </row>
    <row r="99" spans="1:5" ht="12.75">
      <c r="A99" s="118" t="s">
        <v>98</v>
      </c>
      <c r="B99" s="211">
        <f>Лист7!B75</f>
        <v>100000</v>
      </c>
      <c r="C99" s="211">
        <f>Лист7!C75</f>
        <v>0</v>
      </c>
      <c r="D99" s="231">
        <f t="shared" si="5"/>
        <v>0</v>
      </c>
      <c r="E99" s="232">
        <f t="shared" si="4"/>
        <v>-100000</v>
      </c>
    </row>
    <row r="100" spans="1:5" ht="12.75">
      <c r="A100" s="118" t="s">
        <v>99</v>
      </c>
      <c r="B100" s="211">
        <f>Лист1!B89+Лист3!B59+Лист4!B56+Лист5!B58+Лист7!B76+Лист8!B62+Лист9!B64+Лист10!B56+Лист6!B57+Лист2!B57</f>
        <v>2213490</v>
      </c>
      <c r="C100" s="211">
        <f>Лист1!C89+Лист3!C59+Лист4!C56+Лист5!C58+Лист7!C76+Лист8!C62+Лист9!C64+Лист10!C56+Лист6!C57+Лист2!C57</f>
        <v>257548.92</v>
      </c>
      <c r="D100" s="231">
        <f t="shared" si="5"/>
        <v>11.635422793868507</v>
      </c>
      <c r="E100" s="232">
        <f t="shared" si="4"/>
        <v>-1955941.08</v>
      </c>
    </row>
    <row r="101" spans="1:5" ht="25.5">
      <c r="A101" s="16" t="s">
        <v>245</v>
      </c>
      <c r="B101" s="211">
        <f>Лист7!B77</f>
        <v>39060</v>
      </c>
      <c r="C101" s="211">
        <f>Лист7!C77</f>
        <v>0</v>
      </c>
      <c r="D101" s="58"/>
      <c r="E101" s="59"/>
    </row>
    <row r="102" spans="1:5" ht="15">
      <c r="A102" s="18" t="s">
        <v>24</v>
      </c>
      <c r="B102" s="207">
        <f>Лист1!B90+Лист2!B58+Лист3!B60+Лист4!B57+Лист5!B59+Лист6!B60+Лист7!B78+Лист8!B63+Лист9!B65+Лист10!B57</f>
        <v>109000</v>
      </c>
      <c r="C102" s="207">
        <f>Лист1!C90+Лист2!C58+Лист3!C60+Лист4!C57+Лист5!C59+Лист6!C60+Лист7!C78+Лист8!C63+Лист9!C65+Лист10!C57</f>
        <v>0</v>
      </c>
      <c r="D102" s="58">
        <f t="shared" si="5"/>
        <v>0</v>
      </c>
      <c r="E102" s="59">
        <f t="shared" si="4"/>
        <v>-109000</v>
      </c>
    </row>
    <row r="103" spans="1:5" ht="25.5">
      <c r="A103" s="16" t="s">
        <v>54</v>
      </c>
      <c r="B103" s="191">
        <f>SUM(B104,)</f>
        <v>18872090</v>
      </c>
      <c r="C103" s="191">
        <f>C104</f>
        <v>3827708.83</v>
      </c>
      <c r="D103" s="58">
        <f t="shared" si="5"/>
        <v>20.282379058175326</v>
      </c>
      <c r="E103" s="59">
        <f t="shared" si="4"/>
        <v>-15044381.17</v>
      </c>
    </row>
    <row r="104" spans="1:5" ht="12.75">
      <c r="A104" s="16" t="s">
        <v>55</v>
      </c>
      <c r="B104" s="193">
        <f>Лист1!B92+Лист2!B60+Лист3!B62+Лист4!B59+Лист5!B61+Лист6!B62+Лист7!B80+Лист8!B65+Лист9!B67+Лист10!B59</f>
        <v>18872090</v>
      </c>
      <c r="C104" s="193">
        <f>Лист1!C92+Лист2!C60+Лист3!C62+Лист4!C59+Лист5!C61+Лист6!C62+Лист7!C80+Лист8!C65+Лист9!C67+Лист10!C59</f>
        <v>3827708.83</v>
      </c>
      <c r="D104" s="58">
        <f t="shared" si="5"/>
        <v>20.282379058175326</v>
      </c>
      <c r="E104" s="59">
        <f t="shared" si="4"/>
        <v>-15044381.17</v>
      </c>
    </row>
    <row r="105" spans="1:5" ht="12.75">
      <c r="A105" s="16" t="s">
        <v>207</v>
      </c>
      <c r="B105" s="211">
        <f>Лист1!B93+Лист2!B61+Лист3!B63+Лист4!B60+Лист5!B62+Лист6!B63+Лист7!B81+Лист8!B66+Лист9!B68+Лист10!B60</f>
        <v>0</v>
      </c>
      <c r="C105" s="211">
        <f>Лист1!C93+Лист2!C61+Лист3!C63+Лист4!C60+Лист5!C62+Лист6!C63+Лист7!C81+Лист8!C66+Лист9!C68+Лист10!C60</f>
        <v>0</v>
      </c>
      <c r="D105" s="58" t="str">
        <f t="shared" si="5"/>
        <v>   </v>
      </c>
      <c r="E105" s="59">
        <f t="shared" si="4"/>
        <v>0</v>
      </c>
    </row>
    <row r="106" spans="1:5" ht="25.5">
      <c r="A106" s="16" t="s">
        <v>172</v>
      </c>
      <c r="B106" s="193">
        <f>B107+B108+B109</f>
        <v>0</v>
      </c>
      <c r="C106" s="193">
        <f>C107+C108+C109</f>
        <v>0</v>
      </c>
      <c r="D106" s="26" t="str">
        <f t="shared" si="5"/>
        <v>   </v>
      </c>
      <c r="E106" s="49">
        <f t="shared" si="4"/>
        <v>0</v>
      </c>
    </row>
    <row r="107" spans="1:5" ht="12.75">
      <c r="A107" s="16" t="s">
        <v>173</v>
      </c>
      <c r="B107" s="193">
        <f>Лист3!B65+Лист1!B95</f>
        <v>0</v>
      </c>
      <c r="C107" s="193">
        <f>Лист3!C65+Лист1!C95</f>
        <v>0</v>
      </c>
      <c r="D107" s="26" t="str">
        <f t="shared" si="5"/>
        <v>   </v>
      </c>
      <c r="E107" s="49">
        <f t="shared" si="4"/>
        <v>0</v>
      </c>
    </row>
    <row r="108" spans="1:5" ht="13.5" customHeight="1">
      <c r="A108" s="16" t="s">
        <v>201</v>
      </c>
      <c r="B108" s="193">
        <f>Лист3!B66</f>
        <v>0</v>
      </c>
      <c r="C108" s="193">
        <f>Лист3!C66</f>
        <v>0</v>
      </c>
      <c r="D108" s="26" t="str">
        <f t="shared" si="5"/>
        <v>   </v>
      </c>
      <c r="E108" s="49">
        <f t="shared" si="4"/>
        <v>0</v>
      </c>
    </row>
    <row r="109" spans="1:5" ht="12.75">
      <c r="A109" s="16" t="s">
        <v>174</v>
      </c>
      <c r="B109" s="211">
        <f>Лист3!B67</f>
        <v>0</v>
      </c>
      <c r="C109" s="211">
        <f>Лист3!C67</f>
        <v>0</v>
      </c>
      <c r="D109" s="26" t="str">
        <f t="shared" si="5"/>
        <v>   </v>
      </c>
      <c r="E109" s="49">
        <f t="shared" si="4"/>
        <v>0</v>
      </c>
    </row>
    <row r="110" spans="1:5" ht="12.75">
      <c r="A110" s="16" t="s">
        <v>177</v>
      </c>
      <c r="B110" s="211">
        <f>Лист1!B94+Лист2!B62+Лист3!B68+Лист4!B61+Лист5!B63+Лист6!B64+Лист7!B82+Лист8!B67+Лист9!B69+Лист10!B61</f>
        <v>52800</v>
      </c>
      <c r="C110" s="211">
        <f>Лист1!C94+Лист2!C62+Лист3!C68+Лист4!C61+Лист5!C63+Лист6!C64+Лист7!C82+Лист8!C67+Лист9!C69+Лист10!C61</f>
        <v>6600</v>
      </c>
      <c r="D110" s="26">
        <f t="shared" si="5"/>
        <v>12.5</v>
      </c>
      <c r="E110" s="49">
        <f t="shared" si="4"/>
        <v>-46200</v>
      </c>
    </row>
    <row r="111" spans="1:5" ht="12.75">
      <c r="A111" s="16" t="s">
        <v>202</v>
      </c>
      <c r="B111" s="193">
        <f>Лист10!B62</f>
        <v>0</v>
      </c>
      <c r="C111" s="193">
        <f>Лист10!C62</f>
        <v>0</v>
      </c>
      <c r="D111" s="26" t="str">
        <f t="shared" si="5"/>
        <v>   </v>
      </c>
      <c r="E111" s="49">
        <f t="shared" si="4"/>
        <v>0</v>
      </c>
    </row>
    <row r="112" spans="1:5" ht="12.75">
      <c r="A112" s="16" t="s">
        <v>133</v>
      </c>
      <c r="B112" s="211">
        <f>SUM(B115,B116,B117,B124,B133)</f>
        <v>7089900</v>
      </c>
      <c r="C112" s="211">
        <f>SUM(C115,C116,C117,C124,C133)</f>
        <v>15000</v>
      </c>
      <c r="D112" s="58">
        <f t="shared" si="5"/>
        <v>0.2115685693733339</v>
      </c>
      <c r="E112" s="59">
        <f t="shared" si="4"/>
        <v>-7074900</v>
      </c>
    </row>
    <row r="113" spans="1:5" ht="25.5">
      <c r="A113" s="16" t="s">
        <v>165</v>
      </c>
      <c r="B113" s="193"/>
      <c r="C113" s="193"/>
      <c r="D113" s="58" t="str">
        <f t="shared" si="5"/>
        <v>   </v>
      </c>
      <c r="E113" s="59"/>
    </row>
    <row r="114" spans="1:5" ht="25.5">
      <c r="A114" s="16" t="s">
        <v>169</v>
      </c>
      <c r="B114" s="193"/>
      <c r="C114" s="193"/>
      <c r="D114" s="58" t="str">
        <f t="shared" si="5"/>
        <v>   </v>
      </c>
      <c r="E114" s="59"/>
    </row>
    <row r="115" spans="1:5" ht="12.75">
      <c r="A115" s="119" t="s">
        <v>151</v>
      </c>
      <c r="B115" s="198">
        <f>Лист7!B87</f>
        <v>15000</v>
      </c>
      <c r="C115" s="198">
        <f>Лист7!C87</f>
        <v>15000</v>
      </c>
      <c r="D115" s="58">
        <f t="shared" si="5"/>
        <v>100</v>
      </c>
      <c r="E115" s="59">
        <f aca="true" t="shared" si="6" ref="E115:E142">C115-B115</f>
        <v>0</v>
      </c>
    </row>
    <row r="116" spans="1:5" ht="33.75" customHeight="1">
      <c r="A116" s="119" t="s">
        <v>111</v>
      </c>
      <c r="B116" s="198">
        <f>Лист2!B76+Лист4!B86+Лист8!B88+Лист10!B87</f>
        <v>3075600</v>
      </c>
      <c r="C116" s="198">
        <f>Лист2!C76+Лист4!C86+Лист8!C88+Лист10!C87</f>
        <v>0</v>
      </c>
      <c r="D116" s="58">
        <f t="shared" si="5"/>
        <v>0</v>
      </c>
      <c r="E116" s="59">
        <f t="shared" si="6"/>
        <v>-3075600</v>
      </c>
    </row>
    <row r="117" spans="1:5" ht="28.5" customHeight="1">
      <c r="A117" s="119" t="s">
        <v>239</v>
      </c>
      <c r="B117" s="198">
        <f>SUM(B118,B121)</f>
        <v>0</v>
      </c>
      <c r="C117" s="198">
        <f>SUM(C118,C121)</f>
        <v>0</v>
      </c>
      <c r="D117" s="58" t="str">
        <f t="shared" si="5"/>
        <v>   </v>
      </c>
      <c r="E117" s="59">
        <f t="shared" si="6"/>
        <v>0</v>
      </c>
    </row>
    <row r="118" spans="1:5" ht="38.25" customHeight="1">
      <c r="A118" s="126" t="s">
        <v>226</v>
      </c>
      <c r="B118" s="219">
        <f>SUM(B119:B120)</f>
        <v>0</v>
      </c>
      <c r="C118" s="219">
        <f>SUM(C119:C120)</f>
        <v>0</v>
      </c>
      <c r="D118" s="58" t="str">
        <f t="shared" si="5"/>
        <v>   </v>
      </c>
      <c r="E118" s="59">
        <f t="shared" si="6"/>
        <v>0</v>
      </c>
    </row>
    <row r="119" spans="1:5" ht="15.75" customHeight="1">
      <c r="A119" s="126" t="s">
        <v>234</v>
      </c>
      <c r="B119" s="219">
        <f>SUM(Лист1!B111,Лист3!B84,Лист4!B77,Лист8!B79,Лист9!B91,Лист10!B78)</f>
        <v>0</v>
      </c>
      <c r="C119" s="219">
        <f>SUM(Лист1!C111,Лист3!C84,Лист4!C77,Лист8!C79,Лист9!C91,Лист10!C78)</f>
        <v>0</v>
      </c>
      <c r="D119" s="58" t="str">
        <f t="shared" si="5"/>
        <v>   </v>
      </c>
      <c r="E119" s="59">
        <f t="shared" si="6"/>
        <v>0</v>
      </c>
    </row>
    <row r="120" spans="1:5" ht="17.25" customHeight="1">
      <c r="A120" s="126" t="s">
        <v>235</v>
      </c>
      <c r="B120" s="219">
        <f>SUM(Лист1!B112,Лист3!B85,Лист4!B78,Лист8!B80,Лист9!B92,Лист10!B79)</f>
        <v>0</v>
      </c>
      <c r="C120" s="219">
        <f>SUM(Лист1!C112,Лист3!C85,Лист4!C78,Лист8!C80,,Лист10!C79)</f>
        <v>0</v>
      </c>
      <c r="D120" s="58" t="str">
        <f t="shared" si="5"/>
        <v>   </v>
      </c>
      <c r="E120" s="59">
        <f t="shared" si="6"/>
        <v>0</v>
      </c>
    </row>
    <row r="121" spans="1:5" ht="38.25" customHeight="1">
      <c r="A121" s="126" t="s">
        <v>225</v>
      </c>
      <c r="B121" s="219">
        <f>SUM(B122:B123)</f>
        <v>0</v>
      </c>
      <c r="C121" s="219">
        <f>SUM(C122:C123)</f>
        <v>0</v>
      </c>
      <c r="D121" s="58" t="str">
        <f t="shared" si="5"/>
        <v>   </v>
      </c>
      <c r="E121" s="59">
        <f t="shared" si="6"/>
        <v>0</v>
      </c>
    </row>
    <row r="122" spans="1:5" ht="15" customHeight="1">
      <c r="A122" s="126" t="s">
        <v>238</v>
      </c>
      <c r="B122" s="219">
        <f>Лист3!B87+Лист4!B80</f>
        <v>0</v>
      </c>
      <c r="C122" s="219">
        <f>Лист3!C87+Лист4!C80</f>
        <v>0</v>
      </c>
      <c r="D122" s="58" t="str">
        <f t="shared" si="5"/>
        <v>   </v>
      </c>
      <c r="E122" s="59">
        <f t="shared" si="6"/>
        <v>0</v>
      </c>
    </row>
    <row r="123" spans="1:5" ht="13.5" customHeight="1">
      <c r="A123" s="126" t="s">
        <v>237</v>
      </c>
      <c r="B123" s="219">
        <f>SUM(Лист1!B115,Лист3!B88,Лист4!B81,Лист8!B83,Лист10!B82)</f>
        <v>0</v>
      </c>
      <c r="C123" s="219">
        <v>0</v>
      </c>
      <c r="D123" s="58" t="str">
        <f t="shared" si="5"/>
        <v>   </v>
      </c>
      <c r="E123" s="59">
        <f t="shared" si="6"/>
        <v>0</v>
      </c>
    </row>
    <row r="124" spans="1:5" ht="33" customHeight="1">
      <c r="A124" s="119" t="s">
        <v>335</v>
      </c>
      <c r="B124" s="223">
        <f>SUM(B125,B129)</f>
        <v>687000</v>
      </c>
      <c r="C124" s="223">
        <f>SUM(C125,C129)</f>
        <v>0</v>
      </c>
      <c r="D124" s="58" t="str">
        <f>IF(B126=0,"   ",C124/B126*100)</f>
        <v>   </v>
      </c>
      <c r="E124" s="59">
        <f t="shared" si="6"/>
        <v>-687000</v>
      </c>
    </row>
    <row r="125" spans="1:5" ht="43.5" customHeight="1">
      <c r="A125" s="16" t="s">
        <v>226</v>
      </c>
      <c r="B125" s="224">
        <f>SUM(B126:B128)</f>
        <v>687000</v>
      </c>
      <c r="C125" s="224">
        <f>SUM(C126:C128)</f>
        <v>0</v>
      </c>
      <c r="D125" s="58"/>
      <c r="E125" s="59">
        <f t="shared" si="6"/>
        <v>-687000</v>
      </c>
    </row>
    <row r="126" spans="1:5" ht="16.5" customHeight="1">
      <c r="A126" s="47" t="s">
        <v>233</v>
      </c>
      <c r="B126" s="211">
        <f>SUM(Лист1!B102,Лист2!B69,Лист3!B75,Лист4!B68,Лист5!B70,Лист6!B71,Лист8!B74,Лист9!B80,Лист10!B69)</f>
        <v>0</v>
      </c>
      <c r="C126" s="211">
        <f>SUM(Лист1!C102,Лист2!C69,Лист3!C75,Лист4!C68,Лист5!C70,Лист6!C71,Лист8!C74,Лист9!C80,Лист10!C69)</f>
        <v>0</v>
      </c>
      <c r="D126" s="58" t="str">
        <f>IF(B127=0,"   ",C126/B127*100)</f>
        <v>   </v>
      </c>
      <c r="E126" s="59">
        <f t="shared" si="6"/>
        <v>0</v>
      </c>
    </row>
    <row r="127" spans="1:5" ht="17.25" customHeight="1">
      <c r="A127" s="47" t="s">
        <v>234</v>
      </c>
      <c r="B127" s="219">
        <f>SUM(Лист1!B103,Лист2!B70,Лист3!B76,Лист4!B69,Лист5!B71,Лист8!B75,Лист9!B83,Лист10!B70)</f>
        <v>0</v>
      </c>
      <c r="C127" s="219">
        <f>SUM(Лист1!C103,Лист2!C70,Лист3!C76,Лист4!C69,Лист5!C71,Лист6!C72,Лист8!C75,Лист9!C83,Лист10!C70)</f>
        <v>0</v>
      </c>
      <c r="D127" s="58" t="str">
        <f t="shared" si="5"/>
        <v>   </v>
      </c>
      <c r="E127" s="59">
        <f t="shared" si="6"/>
        <v>0</v>
      </c>
    </row>
    <row r="128" spans="1:5" ht="18" customHeight="1">
      <c r="A128" s="47" t="s">
        <v>235</v>
      </c>
      <c r="B128" s="219">
        <f>SUM(Лист1!B104,Лист2!B71,Лист3!B77,Лист4!B70,Лист5!B72,Лист8!B76,Лист9!B82,Лист10!B71)</f>
        <v>687000</v>
      </c>
      <c r="C128" s="219">
        <f>SUM(Лист1!C104,Лист2!C71,Лист3!C77,Лист4!C70,Лист5!C72,Лист6!C73,Лист8!C76,Лист9!C82,Лист10!C71)</f>
        <v>0</v>
      </c>
      <c r="D128" s="58">
        <f t="shared" si="5"/>
        <v>0</v>
      </c>
      <c r="E128" s="59">
        <f t="shared" si="6"/>
        <v>-687000</v>
      </c>
    </row>
    <row r="129" spans="1:5" ht="40.5" customHeight="1">
      <c r="A129" s="16" t="s">
        <v>225</v>
      </c>
      <c r="B129" s="219">
        <f>SUM(B130:B132)</f>
        <v>0</v>
      </c>
      <c r="C129" s="219">
        <f>SUM(C130:C132)</f>
        <v>0</v>
      </c>
      <c r="D129" s="58" t="str">
        <f t="shared" si="5"/>
        <v>   </v>
      </c>
      <c r="E129" s="59">
        <f t="shared" si="6"/>
        <v>0</v>
      </c>
    </row>
    <row r="130" spans="1:5" ht="18" customHeight="1">
      <c r="A130" s="47" t="s">
        <v>233</v>
      </c>
      <c r="B130" s="219">
        <f>SUM(Лист1!B106,Лист3!B79,Лист4!B72,Лист5!B74,Лист9!B86,Лист10!B73)</f>
        <v>0</v>
      </c>
      <c r="C130" s="219">
        <f>SUM(Лист1!C106,Лист3!C79,Лист4!C72,Лист5!C74,Лист9!C86,Лист10!C73)</f>
        <v>0</v>
      </c>
      <c r="D130" s="58" t="str">
        <f t="shared" si="5"/>
        <v>   </v>
      </c>
      <c r="E130" s="59">
        <f t="shared" si="6"/>
        <v>0</v>
      </c>
    </row>
    <row r="131" spans="1:5" ht="18" customHeight="1">
      <c r="A131" s="47" t="s">
        <v>234</v>
      </c>
      <c r="B131" s="211">
        <f>SUM(Лист1!B107,Лист3!B80,Лист4!B73,Лист5!B75,Лист9!B87,Лист10!B74)</f>
        <v>0</v>
      </c>
      <c r="C131" s="211">
        <f>SUM(Лист1!C107,Лист3!C80,Лист4!C73,Лист5!C75,Лист9!C87,Лист10!C74)</f>
        <v>0</v>
      </c>
      <c r="D131" s="58" t="str">
        <f t="shared" si="5"/>
        <v>   </v>
      </c>
      <c r="E131" s="59">
        <f t="shared" si="6"/>
        <v>0</v>
      </c>
    </row>
    <row r="132" spans="1:5" ht="18" customHeight="1">
      <c r="A132" s="47" t="s">
        <v>235</v>
      </c>
      <c r="B132" s="211">
        <f>SUM(Лист1!B108,Лист3!B81,Лист4!B74,Лист5!B76,Лист9!B88,Лист10!B75)</f>
        <v>0</v>
      </c>
      <c r="C132" s="211">
        <f>SUM(Лист1!C108,Лист3!C81,Лист4!C74,Лист5!C76,Лист9!C88,Лист10!C75)</f>
        <v>0</v>
      </c>
      <c r="D132" s="58" t="str">
        <f t="shared" si="5"/>
        <v>   </v>
      </c>
      <c r="E132" s="59">
        <f t="shared" si="6"/>
        <v>0</v>
      </c>
    </row>
    <row r="133" spans="1:5" ht="36.75" customHeight="1">
      <c r="A133" s="119" t="s">
        <v>232</v>
      </c>
      <c r="B133" s="198">
        <f>SUM(B134:B136)</f>
        <v>3312300</v>
      </c>
      <c r="C133" s="198">
        <f>SUM(C134:C136)</f>
        <v>0</v>
      </c>
      <c r="D133" s="58">
        <v>0</v>
      </c>
      <c r="E133" s="59">
        <f>C133-B133</f>
        <v>-3312300</v>
      </c>
    </row>
    <row r="134" spans="1:5" ht="12.75">
      <c r="A134" s="16" t="s">
        <v>236</v>
      </c>
      <c r="B134" s="211">
        <f>Лист1!B117+Лист3!B90+Лист4!B83+Лист5!B78+Лист7!B90+Лист8!B85+Лист9!B95+Лист10!B84</f>
        <v>0</v>
      </c>
      <c r="C134" s="211">
        <f>Лист1!C117+Лист3!C90+Лист4!C83+Лист5!C78+Лист7!C90+Лист8!C85+Лист9!C95+Лист10!C84</f>
        <v>0</v>
      </c>
      <c r="D134" s="58">
        <v>0</v>
      </c>
      <c r="E134" s="59">
        <f>C134-B134</f>
        <v>0</v>
      </c>
    </row>
    <row r="135" spans="1:5" ht="12.75">
      <c r="A135" s="16" t="s">
        <v>238</v>
      </c>
      <c r="B135" s="211">
        <f>Лист1!B118+Лист3!B91+Лист4!B84+Лист5!B79+Лист7!B91+Лист8!B86+Лист9!B96+Лист6!B72+Лист2!B74</f>
        <v>2627900</v>
      </c>
      <c r="C135" s="211">
        <f>Лист1!C118+Лист3!C91+Лист4!C84+Лист5!C79+Лист7!C91+Лист8!C86+Лист9!C96</f>
        <v>0</v>
      </c>
      <c r="D135" s="58">
        <v>0</v>
      </c>
      <c r="E135" s="59">
        <f>C135-B135</f>
        <v>-2627900</v>
      </c>
    </row>
    <row r="136" spans="1:5" ht="12.75">
      <c r="A136" s="16" t="s">
        <v>237</v>
      </c>
      <c r="B136" s="211">
        <f>Лист1!B119+Лист3!B92+Лист4!B85+Лист5!B80+Лист7!B92+Лист8!B87+Лист9!B97+Лист6!B73</f>
        <v>684400</v>
      </c>
      <c r="C136" s="211">
        <f>Лист1!C119+Лист3!C92+Лист4!C85+Лист5!C80+Лист7!C92+Лист8!C87+Лист9!C97</f>
        <v>0</v>
      </c>
      <c r="D136" s="58"/>
      <c r="E136" s="59"/>
    </row>
    <row r="137" spans="1:5" ht="12.75">
      <c r="A137" s="16" t="s">
        <v>214</v>
      </c>
      <c r="B137" s="193">
        <f>SUM(B138,)</f>
        <v>365000</v>
      </c>
      <c r="C137" s="193">
        <f>SUM(C138,)</f>
        <v>23640</v>
      </c>
      <c r="D137" s="58">
        <f>IF(B137=0,"   ",C137/B137*100)</f>
        <v>6.476712328767123</v>
      </c>
      <c r="E137" s="59">
        <f>C137-B137</f>
        <v>-341360</v>
      </c>
    </row>
    <row r="138" spans="1:5" ht="12.75">
      <c r="A138" s="16" t="s">
        <v>215</v>
      </c>
      <c r="B138" s="193">
        <f>Лист1!B97+Лист2!B64+Лист3!B70+Лист4!B63+Лист5!B65+Лист6!B66+Лист7!B84+Лист8!B69+Лист9!B71+Лист10!B64</f>
        <v>365000</v>
      </c>
      <c r="C138" s="193">
        <f>Лист1!C97+Лист2!C64+Лист3!C70+Лист4!C63+Лист5!C65+Лист6!C66+Лист7!C84+Лист8!C69+Лист9!C71+Лист10!C64</f>
        <v>23640</v>
      </c>
      <c r="D138" s="58">
        <f>IF(B138=0,"   ",C138/B138*100)</f>
        <v>6.476712328767123</v>
      </c>
      <c r="E138" s="59">
        <f>C138-B138</f>
        <v>-341360</v>
      </c>
    </row>
    <row r="139" spans="1:5" ht="12.75">
      <c r="A139" s="16" t="s">
        <v>254</v>
      </c>
      <c r="B139" s="193">
        <f>B140</f>
        <v>90000</v>
      </c>
      <c r="C139" s="193">
        <f>C140</f>
        <v>19350</v>
      </c>
      <c r="D139" s="58"/>
      <c r="E139" s="59"/>
    </row>
    <row r="140" spans="1:5" ht="12.75">
      <c r="A140" s="16" t="s">
        <v>268</v>
      </c>
      <c r="B140" s="193">
        <f>Лист7!B94</f>
        <v>90000</v>
      </c>
      <c r="C140" s="193">
        <f>Лист7!C94</f>
        <v>19350</v>
      </c>
      <c r="D140" s="58"/>
      <c r="E140" s="59"/>
    </row>
    <row r="141" spans="1:5" ht="15.75">
      <c r="A141" s="164" t="s">
        <v>19</v>
      </c>
      <c r="B141" s="138">
        <f>B55+B63+B65+B70+B86+B102+B103+B137+B112+B139</f>
        <v>52683900</v>
      </c>
      <c r="C141" s="138">
        <f>SUM(C55,C63,C65,C70,C86,C102,C103,C137,C112,)+C139</f>
        <v>7754675.92</v>
      </c>
      <c r="D141" s="139">
        <f t="shared" si="5"/>
        <v>14.719251839746109</v>
      </c>
      <c r="E141" s="140">
        <f t="shared" si="6"/>
        <v>-44929224.08</v>
      </c>
    </row>
    <row r="142" spans="1:5" ht="13.5" thickBot="1">
      <c r="A142" s="98" t="s">
        <v>210</v>
      </c>
      <c r="B142" s="212">
        <f>B57+B68+B105</f>
        <v>5659004</v>
      </c>
      <c r="C142" s="212">
        <f>C57+C68+C105+C139</f>
        <v>1048434.8999999999</v>
      </c>
      <c r="D142" s="114">
        <f t="shared" si="5"/>
        <v>18.52684500664781</v>
      </c>
      <c r="E142" s="115">
        <f t="shared" si="6"/>
        <v>-4610569.1</v>
      </c>
    </row>
    <row r="143" spans="1:5" s="76" customFormat="1" ht="23.25" customHeight="1">
      <c r="A143" s="110" t="s">
        <v>249</v>
      </c>
      <c r="B143" s="110"/>
      <c r="C143" s="250"/>
      <c r="D143" s="250"/>
      <c r="E143" s="250"/>
    </row>
    <row r="144" spans="1:5" s="76" customFormat="1" ht="12" customHeight="1">
      <c r="A144" s="110" t="s">
        <v>248</v>
      </c>
      <c r="B144" s="110"/>
      <c r="C144" s="111" t="s">
        <v>250</v>
      </c>
      <c r="D144" s="112"/>
      <c r="E144" s="113"/>
    </row>
    <row r="145" spans="1:5" ht="12.75">
      <c r="A145" s="7"/>
      <c r="B145" s="7"/>
      <c r="C145" s="61"/>
      <c r="D145" s="7"/>
      <c r="E145" s="62"/>
    </row>
    <row r="146" spans="1:5" ht="12.75">
      <c r="A146" s="7"/>
      <c r="B146" s="7"/>
      <c r="C146" s="61"/>
      <c r="D146" s="7"/>
      <c r="E146" s="62"/>
    </row>
    <row r="147" spans="1:5" ht="12.75">
      <c r="A147" s="7"/>
      <c r="B147" s="7"/>
      <c r="C147" s="61"/>
      <c r="D147" s="7"/>
      <c r="E147" s="62"/>
    </row>
    <row r="148" spans="1:5" ht="12.75">
      <c r="A148" s="7"/>
      <c r="B148" s="7"/>
      <c r="C148" s="61"/>
      <c r="D148" s="7"/>
      <c r="E148" s="62"/>
    </row>
  </sheetData>
  <mergeCells count="2">
    <mergeCell ref="A1:E1"/>
    <mergeCell ref="C143:E143"/>
  </mergeCells>
  <printOptions/>
  <pageMargins left="0.7874015748031497" right="0.7874015748031497" top="0.4724409448818898" bottom="0.3149606299212598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55">
      <selection activeCell="A74" sqref="A74"/>
    </sheetView>
  </sheetViews>
  <sheetFormatPr defaultColWidth="9.00390625" defaultRowHeight="12.75"/>
  <cols>
    <col min="1" max="1" width="80.875" style="0" customWidth="1"/>
    <col min="2" max="2" width="16.875" style="0" customWidth="1"/>
    <col min="3" max="3" width="19.875" style="0" customWidth="1"/>
    <col min="4" max="4" width="17.875" style="0" customWidth="1"/>
    <col min="5" max="5" width="19.375" style="0" customWidth="1"/>
  </cols>
  <sheetData>
    <row r="1" spans="1:5" ht="18">
      <c r="A1" s="252" t="s">
        <v>304</v>
      </c>
      <c r="B1" s="252"/>
      <c r="C1" s="252"/>
      <c r="D1" s="252"/>
      <c r="E1" s="252"/>
    </row>
    <row r="2" spans="1:5" ht="13.5" thickBot="1">
      <c r="A2" s="4"/>
      <c r="B2" s="4"/>
      <c r="C2" s="5"/>
      <c r="D2" s="4"/>
      <c r="E2" s="4" t="s">
        <v>0</v>
      </c>
    </row>
    <row r="3" spans="1:5" ht="63">
      <c r="A3" s="35" t="s">
        <v>1</v>
      </c>
      <c r="B3" s="19" t="s">
        <v>282</v>
      </c>
      <c r="C3" s="32" t="s">
        <v>303</v>
      </c>
      <c r="D3" s="19" t="s">
        <v>278</v>
      </c>
      <c r="E3" s="19" t="s">
        <v>279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58</v>
      </c>
      <c r="B6" s="191">
        <f>SUM(B7)</f>
        <v>38300</v>
      </c>
      <c r="C6" s="191">
        <f>SUM(C7)</f>
        <v>10241.76</v>
      </c>
      <c r="D6" s="26">
        <f aca="true" t="shared" si="0" ref="D6:D69">IF(B6=0,"   ",C6/B6*100)</f>
        <v>26.740887728459526</v>
      </c>
      <c r="E6" s="49">
        <f aca="true" t="shared" si="1" ref="E6:E69">C6-B6</f>
        <v>-28058.239999999998</v>
      </c>
    </row>
    <row r="7" spans="1:5" ht="12.75" customHeight="1">
      <c r="A7" s="16" t="s">
        <v>57</v>
      </c>
      <c r="B7" s="25">
        <v>38300</v>
      </c>
      <c r="C7" s="27">
        <v>10241.76</v>
      </c>
      <c r="D7" s="26">
        <f t="shared" si="0"/>
        <v>26.740887728459526</v>
      </c>
      <c r="E7" s="49">
        <f t="shared" si="1"/>
        <v>-28058.239999999998</v>
      </c>
    </row>
    <row r="8" spans="1:5" ht="16.5" customHeight="1">
      <c r="A8" s="16" t="s">
        <v>7</v>
      </c>
      <c r="B8" s="193">
        <f>SUM(B9:B9)</f>
        <v>19200</v>
      </c>
      <c r="C8" s="193">
        <f>SUM(C9:C9)</f>
        <v>6378.3</v>
      </c>
      <c r="D8" s="26">
        <f t="shared" si="0"/>
        <v>33.2203125</v>
      </c>
      <c r="E8" s="49">
        <f t="shared" si="1"/>
        <v>-12821.7</v>
      </c>
    </row>
    <row r="9" spans="1:5" ht="14.25" customHeight="1">
      <c r="A9" s="16" t="s">
        <v>38</v>
      </c>
      <c r="B9" s="25">
        <v>19200</v>
      </c>
      <c r="C9" s="27">
        <v>6378.3</v>
      </c>
      <c r="D9" s="26">
        <f t="shared" si="0"/>
        <v>33.2203125</v>
      </c>
      <c r="E9" s="49">
        <f t="shared" si="1"/>
        <v>-12821.7</v>
      </c>
    </row>
    <row r="10" spans="1:5" ht="14.25" customHeight="1">
      <c r="A10" s="16" t="s">
        <v>9</v>
      </c>
      <c r="B10" s="193">
        <f>SUM(B11:B12)</f>
        <v>359000</v>
      </c>
      <c r="C10" s="193">
        <f>SUM(C11:C12)</f>
        <v>8450.39</v>
      </c>
      <c r="D10" s="26">
        <f t="shared" si="0"/>
        <v>2.3538690807799445</v>
      </c>
      <c r="E10" s="49">
        <f t="shared" si="1"/>
        <v>-350549.61</v>
      </c>
    </row>
    <row r="11" spans="1:5" ht="12.75" customHeight="1">
      <c r="A11" s="16" t="s">
        <v>39</v>
      </c>
      <c r="B11" s="25">
        <v>40000</v>
      </c>
      <c r="C11" s="27">
        <v>926.4</v>
      </c>
      <c r="D11" s="26">
        <f t="shared" si="0"/>
        <v>2.316</v>
      </c>
      <c r="E11" s="49">
        <f t="shared" si="1"/>
        <v>-39073.6</v>
      </c>
    </row>
    <row r="12" spans="1:5" ht="12.75">
      <c r="A12" s="16" t="s">
        <v>10</v>
      </c>
      <c r="B12" s="25">
        <v>319000</v>
      </c>
      <c r="C12" s="27">
        <v>7523.99</v>
      </c>
      <c r="D12" s="26">
        <f t="shared" si="0"/>
        <v>2.358617554858934</v>
      </c>
      <c r="E12" s="49">
        <f t="shared" si="1"/>
        <v>-311476.01</v>
      </c>
    </row>
    <row r="13" spans="1:5" ht="25.5">
      <c r="A13" s="16" t="s">
        <v>126</v>
      </c>
      <c r="B13" s="25">
        <v>0</v>
      </c>
      <c r="C13" s="27">
        <v>762.16</v>
      </c>
      <c r="D13" s="26" t="str">
        <f t="shared" si="0"/>
        <v>   </v>
      </c>
      <c r="E13" s="49">
        <f t="shared" si="1"/>
        <v>762.16</v>
      </c>
    </row>
    <row r="14" spans="1:5" ht="16.5" customHeight="1">
      <c r="A14" s="16" t="s">
        <v>104</v>
      </c>
      <c r="B14" s="191">
        <f>B15</f>
        <v>0</v>
      </c>
      <c r="C14" s="191">
        <f>C15</f>
        <v>0</v>
      </c>
      <c r="D14" s="26" t="str">
        <f t="shared" si="0"/>
        <v>   </v>
      </c>
      <c r="E14" s="49">
        <f t="shared" si="1"/>
        <v>0</v>
      </c>
    </row>
    <row r="15" spans="1:5" ht="22.5" customHeight="1">
      <c r="A15" s="16" t="s">
        <v>105</v>
      </c>
      <c r="B15" s="25">
        <v>0</v>
      </c>
      <c r="C15" s="27">
        <v>0</v>
      </c>
      <c r="D15" s="26" t="str">
        <f t="shared" si="0"/>
        <v>   </v>
      </c>
      <c r="E15" s="49">
        <f t="shared" si="1"/>
        <v>0</v>
      </c>
    </row>
    <row r="16" spans="1:5" ht="29.25" customHeight="1">
      <c r="A16" s="16" t="s">
        <v>40</v>
      </c>
      <c r="B16" s="193">
        <f>SUM(B17:B18)</f>
        <v>37500</v>
      </c>
      <c r="C16" s="191">
        <f>SUM(C17:C18)</f>
        <v>18664.23</v>
      </c>
      <c r="D16" s="26">
        <f t="shared" si="0"/>
        <v>49.771280000000004</v>
      </c>
      <c r="E16" s="49">
        <f t="shared" si="1"/>
        <v>-18835.77</v>
      </c>
    </row>
    <row r="17" spans="1:5" ht="15.75" customHeight="1">
      <c r="A17" s="16" t="s">
        <v>41</v>
      </c>
      <c r="B17" s="25">
        <v>37500</v>
      </c>
      <c r="C17" s="27">
        <v>18664.23</v>
      </c>
      <c r="D17" s="26">
        <f t="shared" si="0"/>
        <v>49.771280000000004</v>
      </c>
      <c r="E17" s="49">
        <f t="shared" si="1"/>
        <v>-18835.77</v>
      </c>
    </row>
    <row r="18" spans="1:5" ht="30" customHeight="1">
      <c r="A18" s="16" t="s">
        <v>42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24" customHeight="1">
      <c r="A19" s="42" t="s">
        <v>131</v>
      </c>
      <c r="B19" s="25">
        <v>0</v>
      </c>
      <c r="C19" s="27">
        <v>0</v>
      </c>
      <c r="D19" s="26" t="str">
        <f t="shared" si="0"/>
        <v>   </v>
      </c>
      <c r="E19" s="49">
        <f t="shared" si="1"/>
        <v>0</v>
      </c>
    </row>
    <row r="20" spans="1:5" ht="16.5" customHeight="1">
      <c r="A20" s="16" t="s">
        <v>44</v>
      </c>
      <c r="B20" s="193">
        <f>SUM(B21:B22)</f>
        <v>0</v>
      </c>
      <c r="C20" s="193">
        <f>SUM(C21:C22)</f>
        <v>0</v>
      </c>
      <c r="D20" s="26" t="str">
        <f t="shared" si="0"/>
        <v>   </v>
      </c>
      <c r="E20" s="49">
        <f t="shared" si="1"/>
        <v>0</v>
      </c>
    </row>
    <row r="21" spans="1:5" ht="15.75" customHeight="1">
      <c r="A21" s="16" t="s">
        <v>178</v>
      </c>
      <c r="B21" s="25">
        <v>0</v>
      </c>
      <c r="C21" s="25">
        <v>0</v>
      </c>
      <c r="D21" s="26" t="str">
        <f t="shared" si="0"/>
        <v>   </v>
      </c>
      <c r="E21" s="49">
        <f t="shared" si="1"/>
        <v>0</v>
      </c>
    </row>
    <row r="22" spans="1:5" s="9" customFormat="1" ht="15" customHeight="1">
      <c r="A22" s="16" t="s">
        <v>179</v>
      </c>
      <c r="B22" s="40">
        <v>0</v>
      </c>
      <c r="C22" s="41">
        <v>0</v>
      </c>
      <c r="D22" s="26" t="str">
        <f t="shared" si="0"/>
        <v>   </v>
      </c>
      <c r="E22" s="43">
        <f>C22-B22</f>
        <v>0</v>
      </c>
    </row>
    <row r="23" spans="1:5" ht="19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9.5" customHeight="1">
      <c r="A24" s="164" t="s">
        <v>11</v>
      </c>
      <c r="B24" s="165">
        <f>SUM(B6,B8,B10,B13,B14,B16,B23,B19,B20)</f>
        <v>454000</v>
      </c>
      <c r="C24" s="165">
        <f>SUM(C6,C8,C10,C13,C14,C16,C23,C19,C20)</f>
        <v>44496.84</v>
      </c>
      <c r="D24" s="166">
        <f t="shared" si="0"/>
        <v>9.801066079295154</v>
      </c>
      <c r="E24" s="167">
        <f t="shared" si="1"/>
        <v>-409503.16000000003</v>
      </c>
    </row>
    <row r="25" spans="1:5" ht="16.5" customHeight="1">
      <c r="A25" s="17" t="s">
        <v>46</v>
      </c>
      <c r="B25" s="24">
        <v>1325300</v>
      </c>
      <c r="C25" s="24">
        <v>319150</v>
      </c>
      <c r="D25" s="26">
        <f t="shared" si="0"/>
        <v>24.081340073945523</v>
      </c>
      <c r="E25" s="49">
        <f t="shared" si="1"/>
        <v>-1006150</v>
      </c>
    </row>
    <row r="26" spans="1:5" ht="27.75" customHeight="1">
      <c r="A26" s="16" t="s">
        <v>63</v>
      </c>
      <c r="B26" s="25">
        <v>255600</v>
      </c>
      <c r="C26" s="27">
        <v>30000</v>
      </c>
      <c r="D26" s="26">
        <f t="shared" si="0"/>
        <v>11.737089201877934</v>
      </c>
      <c r="E26" s="49">
        <f t="shared" si="1"/>
        <v>-225600</v>
      </c>
    </row>
    <row r="27" spans="1:5" ht="39.75" customHeight="1">
      <c r="A27" s="200" t="s">
        <v>67</v>
      </c>
      <c r="B27" s="201">
        <v>50800</v>
      </c>
      <c r="C27" s="201">
        <v>50300</v>
      </c>
      <c r="D27" s="202">
        <f t="shared" si="0"/>
        <v>99.01574803149606</v>
      </c>
      <c r="E27" s="203">
        <f t="shared" si="1"/>
        <v>-500</v>
      </c>
    </row>
    <row r="28" spans="1:5" ht="24.75" customHeight="1">
      <c r="A28" s="204" t="s">
        <v>140</v>
      </c>
      <c r="B28" s="201">
        <v>100</v>
      </c>
      <c r="C28" s="205">
        <v>0</v>
      </c>
      <c r="D28" s="202">
        <f t="shared" si="0"/>
        <v>0</v>
      </c>
      <c r="E28" s="203">
        <f t="shared" si="1"/>
        <v>-100</v>
      </c>
    </row>
    <row r="29" spans="1:5" ht="24.75" customHeight="1">
      <c r="A29" s="42" t="s">
        <v>119</v>
      </c>
      <c r="B29" s="25">
        <v>349920</v>
      </c>
      <c r="C29" s="27">
        <v>0</v>
      </c>
      <c r="D29" s="26">
        <f t="shared" si="0"/>
        <v>0</v>
      </c>
      <c r="E29" s="49">
        <f t="shared" si="1"/>
        <v>-349920</v>
      </c>
    </row>
    <row r="30" spans="1:5" ht="39.75" customHeight="1">
      <c r="A30" s="200" t="s">
        <v>149</v>
      </c>
      <c r="B30" s="201">
        <v>6600</v>
      </c>
      <c r="C30" s="201">
        <v>0</v>
      </c>
      <c r="D30" s="202">
        <f t="shared" si="0"/>
        <v>0</v>
      </c>
      <c r="E30" s="203">
        <f t="shared" si="1"/>
        <v>-6600</v>
      </c>
    </row>
    <row r="31" spans="1:5" ht="30.75" customHeight="1">
      <c r="A31" s="200" t="s">
        <v>316</v>
      </c>
      <c r="B31" s="201">
        <v>777900</v>
      </c>
      <c r="C31" s="201">
        <v>0</v>
      </c>
      <c r="D31" s="202"/>
      <c r="E31" s="203"/>
    </row>
    <row r="32" spans="1:5" ht="16.5" customHeight="1">
      <c r="A32" s="16" t="s">
        <v>106</v>
      </c>
      <c r="B32" s="193">
        <f>B33</f>
        <v>247300</v>
      </c>
      <c r="C32" s="193">
        <f>C33</f>
        <v>0</v>
      </c>
      <c r="D32" s="26">
        <f t="shared" si="0"/>
        <v>0</v>
      </c>
      <c r="E32" s="49">
        <f t="shared" si="1"/>
        <v>-247300</v>
      </c>
    </row>
    <row r="33" spans="1:5" s="7" customFormat="1" ht="14.25" customHeight="1">
      <c r="A33" s="63" t="s">
        <v>180</v>
      </c>
      <c r="B33" s="64">
        <v>247300</v>
      </c>
      <c r="C33" s="64">
        <v>0</v>
      </c>
      <c r="D33" s="64">
        <f t="shared" si="0"/>
        <v>0</v>
      </c>
      <c r="E33" s="43">
        <f t="shared" si="1"/>
        <v>-247300</v>
      </c>
    </row>
    <row r="34" spans="1:5" ht="21.75" customHeight="1">
      <c r="A34" s="164" t="s">
        <v>14</v>
      </c>
      <c r="B34" s="168">
        <f>B24+B25+B26+B27+B28+B29+B30+B31+B32</f>
        <v>3467520</v>
      </c>
      <c r="C34" s="168">
        <f>C24+C25+C26+C27+C28+C29+C30+C31+C32</f>
        <v>443946.83999999997</v>
      </c>
      <c r="D34" s="166">
        <f t="shared" si="0"/>
        <v>12.803007336655591</v>
      </c>
      <c r="E34" s="167">
        <f t="shared" si="1"/>
        <v>-3023573.16</v>
      </c>
    </row>
    <row r="35" spans="1:5" ht="12.75">
      <c r="A35" s="30" t="s">
        <v>64</v>
      </c>
      <c r="B35" s="24"/>
      <c r="C35" s="25"/>
      <c r="D35" s="26" t="str">
        <f t="shared" si="0"/>
        <v>   </v>
      </c>
      <c r="E35" s="49">
        <f t="shared" si="1"/>
        <v>0</v>
      </c>
    </row>
    <row r="36" spans="1:5" ht="13.5" thickBot="1">
      <c r="A36" s="155" t="s">
        <v>15</v>
      </c>
      <c r="B36" s="156"/>
      <c r="C36" s="157"/>
      <c r="D36" s="169" t="str">
        <f t="shared" si="0"/>
        <v>   </v>
      </c>
      <c r="E36" s="170">
        <f t="shared" si="1"/>
        <v>0</v>
      </c>
    </row>
    <row r="37" spans="1:5" ht="13.5" thickBot="1">
      <c r="A37" s="186" t="s">
        <v>48</v>
      </c>
      <c r="B37" s="187">
        <v>755700</v>
      </c>
      <c r="C37" s="187">
        <v>133770.63</v>
      </c>
      <c r="D37" s="188">
        <f t="shared" si="0"/>
        <v>17.70155220325526</v>
      </c>
      <c r="E37" s="189">
        <f t="shared" si="1"/>
        <v>-621929.37</v>
      </c>
    </row>
    <row r="38" spans="1:5" ht="13.5" thickBot="1">
      <c r="A38" s="174" t="s">
        <v>49</v>
      </c>
      <c r="B38" s="175">
        <v>755200</v>
      </c>
      <c r="C38" s="187">
        <v>133770.63</v>
      </c>
      <c r="D38" s="176">
        <f t="shared" si="0"/>
        <v>17.713271980932205</v>
      </c>
      <c r="E38" s="177">
        <f t="shared" si="1"/>
        <v>-621429.37</v>
      </c>
    </row>
    <row r="39" spans="1:5" ht="12.75">
      <c r="A39" s="118" t="s">
        <v>206</v>
      </c>
      <c r="B39" s="25">
        <v>476900</v>
      </c>
      <c r="C39" s="28">
        <v>83742.64</v>
      </c>
      <c r="D39" s="26">
        <f t="shared" si="0"/>
        <v>17.559790312434473</v>
      </c>
      <c r="E39" s="49">
        <f t="shared" si="1"/>
        <v>-393157.36</v>
      </c>
    </row>
    <row r="40" spans="1:5" ht="12.75">
      <c r="A40" s="16" t="s">
        <v>181</v>
      </c>
      <c r="B40" s="25">
        <v>100</v>
      </c>
      <c r="C40" s="28">
        <v>0</v>
      </c>
      <c r="D40" s="26">
        <f t="shared" si="0"/>
        <v>0</v>
      </c>
      <c r="E40" s="49">
        <f t="shared" si="1"/>
        <v>-100</v>
      </c>
    </row>
    <row r="41" spans="1:5" ht="12.75">
      <c r="A41" s="16" t="s">
        <v>141</v>
      </c>
      <c r="B41" s="25">
        <v>500</v>
      </c>
      <c r="C41" s="28">
        <v>0</v>
      </c>
      <c r="D41" s="26">
        <f t="shared" si="0"/>
        <v>0</v>
      </c>
      <c r="E41" s="49">
        <f t="shared" si="1"/>
        <v>-500</v>
      </c>
    </row>
    <row r="42" spans="1:5" ht="13.5" thickBot="1">
      <c r="A42" s="154" t="s">
        <v>70</v>
      </c>
      <c r="B42" s="171">
        <v>0</v>
      </c>
      <c r="C42" s="172">
        <v>0</v>
      </c>
      <c r="D42" s="169" t="str">
        <f t="shared" si="0"/>
        <v>   </v>
      </c>
      <c r="E42" s="170">
        <f t="shared" si="1"/>
        <v>0</v>
      </c>
    </row>
    <row r="43" spans="1:5" ht="13.5" thickBot="1">
      <c r="A43" s="186" t="s">
        <v>65</v>
      </c>
      <c r="B43" s="195">
        <f>SUM(B44)</f>
        <v>50800</v>
      </c>
      <c r="C43" s="195">
        <f>SUM(C44)</f>
        <v>6977.48</v>
      </c>
      <c r="D43" s="188">
        <f t="shared" si="0"/>
        <v>13.735196850393699</v>
      </c>
      <c r="E43" s="189">
        <f t="shared" si="1"/>
        <v>-43822.520000000004</v>
      </c>
    </row>
    <row r="44" spans="1:5" ht="24.75" thickBot="1">
      <c r="A44" s="178" t="s">
        <v>176</v>
      </c>
      <c r="B44" s="179">
        <v>50800</v>
      </c>
      <c r="C44" s="180">
        <v>6977.48</v>
      </c>
      <c r="D44" s="181">
        <f t="shared" si="0"/>
        <v>13.735196850393699</v>
      </c>
      <c r="E44" s="182">
        <f t="shared" si="1"/>
        <v>-43822.520000000004</v>
      </c>
    </row>
    <row r="45" spans="1:5" ht="13.5" thickBot="1">
      <c r="A45" s="186" t="s">
        <v>50</v>
      </c>
      <c r="B45" s="196">
        <f>SUM(B46)</f>
        <v>400</v>
      </c>
      <c r="C45" s="195">
        <f>SUM(C46)</f>
        <v>0</v>
      </c>
      <c r="D45" s="188">
        <f t="shared" si="0"/>
        <v>0</v>
      </c>
      <c r="E45" s="189">
        <f t="shared" si="1"/>
        <v>-400</v>
      </c>
    </row>
    <row r="46" spans="1:5" ht="26.25" thickBot="1">
      <c r="A46" s="103" t="s">
        <v>129</v>
      </c>
      <c r="B46" s="179">
        <v>400</v>
      </c>
      <c r="C46" s="180">
        <v>0</v>
      </c>
      <c r="D46" s="181">
        <f t="shared" si="0"/>
        <v>0</v>
      </c>
      <c r="E46" s="182">
        <f t="shared" si="1"/>
        <v>-400</v>
      </c>
    </row>
    <row r="47" spans="1:5" ht="13.5" thickBot="1">
      <c r="A47" s="186" t="s">
        <v>51</v>
      </c>
      <c r="B47" s="196">
        <f>B48</f>
        <v>327300</v>
      </c>
      <c r="C47" s="196">
        <f>C48</f>
        <v>0</v>
      </c>
      <c r="D47" s="188">
        <f t="shared" si="0"/>
        <v>0</v>
      </c>
      <c r="E47" s="189">
        <f t="shared" si="1"/>
        <v>-327300</v>
      </c>
    </row>
    <row r="48" spans="1:5" ht="12.75">
      <c r="A48" s="145" t="s">
        <v>285</v>
      </c>
      <c r="B48" s="175">
        <f>B49+B50+B51</f>
        <v>327300</v>
      </c>
      <c r="C48" s="175">
        <f>C49+C50+C51</f>
        <v>0</v>
      </c>
      <c r="D48" s="176">
        <f t="shared" si="0"/>
        <v>0</v>
      </c>
      <c r="E48" s="177">
        <f t="shared" si="1"/>
        <v>-327300</v>
      </c>
    </row>
    <row r="49" spans="1:5" ht="25.5">
      <c r="A49" s="248" t="s">
        <v>317</v>
      </c>
      <c r="B49" s="25">
        <v>176200</v>
      </c>
      <c r="C49" s="25">
        <v>0</v>
      </c>
      <c r="D49" s="26"/>
      <c r="E49" s="27"/>
    </row>
    <row r="50" spans="1:5" ht="25.5">
      <c r="A50" s="91" t="s">
        <v>286</v>
      </c>
      <c r="B50" s="179">
        <v>71100</v>
      </c>
      <c r="C50" s="179">
        <v>0</v>
      </c>
      <c r="D50" s="181"/>
      <c r="E50" s="182"/>
    </row>
    <row r="51" spans="1:5" ht="26.25" thickBot="1">
      <c r="A51" s="91" t="s">
        <v>287</v>
      </c>
      <c r="B51" s="171">
        <v>80000</v>
      </c>
      <c r="C51" s="171">
        <v>0</v>
      </c>
      <c r="D51" s="169">
        <f t="shared" si="0"/>
        <v>0</v>
      </c>
      <c r="E51" s="170">
        <f t="shared" si="1"/>
        <v>-80000</v>
      </c>
    </row>
    <row r="52" spans="1:5" ht="13.5" customHeight="1" thickBot="1">
      <c r="A52" s="186" t="s">
        <v>16</v>
      </c>
      <c r="B52" s="196">
        <f>SUM(B55,B53)</f>
        <v>256050</v>
      </c>
      <c r="C52" s="196">
        <f>SUM(C55,C53)</f>
        <v>64952.37</v>
      </c>
      <c r="D52" s="188">
        <f t="shared" si="0"/>
        <v>25.36706502636204</v>
      </c>
      <c r="E52" s="189">
        <f t="shared" si="1"/>
        <v>-191097.63</v>
      </c>
    </row>
    <row r="53" spans="1:5" ht="13.5" customHeight="1">
      <c r="A53" s="174" t="s">
        <v>122</v>
      </c>
      <c r="B53" s="199">
        <f>SUM(B54)</f>
        <v>0</v>
      </c>
      <c r="C53" s="199">
        <f>SUM(C54)</f>
        <v>0</v>
      </c>
      <c r="D53" s="176" t="str">
        <f t="shared" si="0"/>
        <v>   </v>
      </c>
      <c r="E53" s="177">
        <f t="shared" si="1"/>
        <v>0</v>
      </c>
    </row>
    <row r="54" spans="1:5" ht="14.25" customHeight="1">
      <c r="A54" s="16" t="s">
        <v>123</v>
      </c>
      <c r="B54" s="25">
        <v>0</v>
      </c>
      <c r="C54" s="25">
        <v>0</v>
      </c>
      <c r="D54" s="26" t="str">
        <f t="shared" si="0"/>
        <v>   </v>
      </c>
      <c r="E54" s="49">
        <f t="shared" si="1"/>
        <v>0</v>
      </c>
    </row>
    <row r="55" spans="1:5" ht="12.75">
      <c r="A55" s="16" t="s">
        <v>79</v>
      </c>
      <c r="B55" s="25">
        <v>256050</v>
      </c>
      <c r="C55" s="25">
        <v>64952.37</v>
      </c>
      <c r="D55" s="26">
        <f t="shared" si="0"/>
        <v>25.36706502636204</v>
      </c>
      <c r="E55" s="49">
        <f t="shared" si="1"/>
        <v>-191097.63</v>
      </c>
    </row>
    <row r="56" spans="1:5" ht="12.75">
      <c r="A56" s="16" t="s">
        <v>77</v>
      </c>
      <c r="B56" s="25">
        <v>180000</v>
      </c>
      <c r="C56" s="27">
        <v>64952.37</v>
      </c>
      <c r="D56" s="26">
        <f t="shared" si="0"/>
        <v>36.08465</v>
      </c>
      <c r="E56" s="49">
        <f t="shared" si="1"/>
        <v>-115047.63</v>
      </c>
    </row>
    <row r="57" spans="1:5" ht="13.5" thickBot="1">
      <c r="A57" s="154" t="s">
        <v>80</v>
      </c>
      <c r="B57" s="171">
        <v>76050</v>
      </c>
      <c r="C57" s="172">
        <v>0</v>
      </c>
      <c r="D57" s="169">
        <f t="shared" si="0"/>
        <v>0</v>
      </c>
      <c r="E57" s="170">
        <f t="shared" si="1"/>
        <v>-76050</v>
      </c>
    </row>
    <row r="58" spans="1:5" ht="15.75" thickBot="1">
      <c r="A58" s="190" t="s">
        <v>24</v>
      </c>
      <c r="B58" s="148">
        <v>10000</v>
      </c>
      <c r="C58" s="148">
        <v>0</v>
      </c>
      <c r="D58" s="188">
        <f t="shared" si="0"/>
        <v>0</v>
      </c>
      <c r="E58" s="189">
        <f t="shared" si="1"/>
        <v>-10000</v>
      </c>
    </row>
    <row r="59" spans="1:5" ht="13.5" thickBot="1">
      <c r="A59" s="186" t="s">
        <v>54</v>
      </c>
      <c r="B59" s="197">
        <f>B60</f>
        <v>820250</v>
      </c>
      <c r="C59" s="197">
        <f>C60</f>
        <v>179000</v>
      </c>
      <c r="D59" s="188">
        <f t="shared" si="0"/>
        <v>21.822615056385246</v>
      </c>
      <c r="E59" s="189">
        <f t="shared" si="1"/>
        <v>-641250</v>
      </c>
    </row>
    <row r="60" spans="1:5" ht="12.75">
      <c r="A60" s="174" t="s">
        <v>55</v>
      </c>
      <c r="B60" s="175">
        <v>820250</v>
      </c>
      <c r="C60" s="183">
        <v>179000</v>
      </c>
      <c r="D60" s="176">
        <f t="shared" si="0"/>
        <v>21.822615056385246</v>
      </c>
      <c r="E60" s="177">
        <f t="shared" si="1"/>
        <v>-641250</v>
      </c>
    </row>
    <row r="61" spans="1:5" ht="12.75">
      <c r="A61" s="118" t="s">
        <v>207</v>
      </c>
      <c r="B61" s="25">
        <v>0</v>
      </c>
      <c r="C61" s="27">
        <v>0</v>
      </c>
      <c r="D61" s="26" t="str">
        <f t="shared" si="0"/>
        <v>   </v>
      </c>
      <c r="E61" s="49">
        <f t="shared" si="1"/>
        <v>0</v>
      </c>
    </row>
    <row r="62" spans="1:5" ht="14.25" customHeight="1" thickBot="1">
      <c r="A62" s="154" t="s">
        <v>177</v>
      </c>
      <c r="B62" s="171">
        <v>6600</v>
      </c>
      <c r="C62" s="172">
        <v>0</v>
      </c>
      <c r="D62" s="169">
        <f t="shared" si="0"/>
        <v>0</v>
      </c>
      <c r="E62" s="170">
        <f t="shared" si="1"/>
        <v>-6600</v>
      </c>
    </row>
    <row r="63" spans="1:5" ht="13.5" thickBot="1">
      <c r="A63" s="186" t="s">
        <v>214</v>
      </c>
      <c r="B63" s="196">
        <f>SUM(B64,)</f>
        <v>65000</v>
      </c>
      <c r="C63" s="196">
        <f>SUM(C64,)</f>
        <v>0</v>
      </c>
      <c r="D63" s="188">
        <f t="shared" si="0"/>
        <v>0</v>
      </c>
      <c r="E63" s="189">
        <f t="shared" si="1"/>
        <v>-65000</v>
      </c>
    </row>
    <row r="64" spans="1:5" ht="13.5" thickBot="1">
      <c r="A64" s="184" t="s">
        <v>56</v>
      </c>
      <c r="B64" s="179">
        <v>65000</v>
      </c>
      <c r="C64" s="185">
        <v>0</v>
      </c>
      <c r="D64" s="181">
        <f t="shared" si="0"/>
        <v>0</v>
      </c>
      <c r="E64" s="182">
        <f t="shared" si="1"/>
        <v>-65000</v>
      </c>
    </row>
    <row r="65" spans="1:5" ht="13.5" thickBot="1">
      <c r="A65" s="186" t="s">
        <v>18</v>
      </c>
      <c r="B65" s="196">
        <f>B66+B76</f>
        <v>1209220</v>
      </c>
      <c r="C65" s="196">
        <f>C76</f>
        <v>0</v>
      </c>
      <c r="D65" s="188">
        <f t="shared" si="0"/>
        <v>0</v>
      </c>
      <c r="E65" s="189">
        <f t="shared" si="1"/>
        <v>-1209220</v>
      </c>
    </row>
    <row r="66" spans="1:5" ht="12.75">
      <c r="A66" s="174" t="s">
        <v>223</v>
      </c>
      <c r="B66" s="199">
        <f>B67+B72</f>
        <v>431320</v>
      </c>
      <c r="C66" s="199">
        <f>C67+C72</f>
        <v>0</v>
      </c>
      <c r="D66" s="176">
        <f t="shared" si="0"/>
        <v>0</v>
      </c>
      <c r="E66" s="177">
        <f t="shared" si="1"/>
        <v>-431320</v>
      </c>
    </row>
    <row r="67" spans="1:5" ht="12.75">
      <c r="A67" s="158" t="s">
        <v>252</v>
      </c>
      <c r="B67" s="198">
        <f>SUM(B68)</f>
        <v>81400</v>
      </c>
      <c r="C67" s="198">
        <f>SUM(C68)</f>
        <v>0</v>
      </c>
      <c r="D67" s="26">
        <f t="shared" si="0"/>
        <v>0</v>
      </c>
      <c r="E67" s="49">
        <f t="shared" si="1"/>
        <v>-81400</v>
      </c>
    </row>
    <row r="68" spans="1:5" ht="25.5" customHeight="1">
      <c r="A68" s="16" t="s">
        <v>240</v>
      </c>
      <c r="B68" s="193">
        <f>SUM(B69:B71)</f>
        <v>81400</v>
      </c>
      <c r="C68" s="193">
        <f>SUM(C69:C71)</f>
        <v>0</v>
      </c>
      <c r="D68" s="26">
        <f t="shared" si="0"/>
        <v>0</v>
      </c>
      <c r="E68" s="49">
        <f t="shared" si="1"/>
        <v>-81400</v>
      </c>
    </row>
    <row r="69" spans="1:5" ht="15.75" customHeight="1">
      <c r="A69" s="47" t="s">
        <v>233</v>
      </c>
      <c r="B69" s="25">
        <v>0</v>
      </c>
      <c r="C69" s="27"/>
      <c r="D69" s="26" t="str">
        <f t="shared" si="0"/>
        <v>   </v>
      </c>
      <c r="E69" s="49">
        <f t="shared" si="1"/>
        <v>0</v>
      </c>
    </row>
    <row r="70" spans="1:5" ht="14.25" customHeight="1">
      <c r="A70" s="47" t="s">
        <v>234</v>
      </c>
      <c r="B70">
        <v>0</v>
      </c>
      <c r="C70" s="27"/>
      <c r="D70" s="26" t="str">
        <f>IF(B70=0,"   ",C70/B70*100)</f>
        <v>   </v>
      </c>
      <c r="E70" s="49">
        <f>C70-B70</f>
        <v>0</v>
      </c>
    </row>
    <row r="71" spans="1:5" ht="12.75" customHeight="1">
      <c r="A71" s="47" t="s">
        <v>235</v>
      </c>
      <c r="B71" s="116">
        <v>81400</v>
      </c>
      <c r="C71" s="27">
        <v>0</v>
      </c>
      <c r="D71" s="26">
        <f>IF(B71=0,"   ",C71/B71*100)</f>
        <v>0</v>
      </c>
      <c r="E71" s="49">
        <f>C71-B71</f>
        <v>-81400</v>
      </c>
    </row>
    <row r="72" spans="1:5" ht="37.5" customHeight="1">
      <c r="A72" s="47" t="s">
        <v>318</v>
      </c>
      <c r="B72" s="116">
        <f>B73+B74+B75</f>
        <v>349920</v>
      </c>
      <c r="C72" s="27">
        <f>C73+C74+C75</f>
        <v>0</v>
      </c>
      <c r="D72" s="26"/>
      <c r="E72" s="49"/>
    </row>
    <row r="73" spans="1:5" ht="18" customHeight="1">
      <c r="A73" s="47" t="s">
        <v>319</v>
      </c>
      <c r="B73" s="116">
        <v>0</v>
      </c>
      <c r="C73" s="27">
        <v>0</v>
      </c>
      <c r="D73" s="26"/>
      <c r="E73" s="49"/>
    </row>
    <row r="74" spans="1:5" ht="18" customHeight="1">
      <c r="A74" s="47" t="s">
        <v>320</v>
      </c>
      <c r="B74" s="116">
        <v>349920</v>
      </c>
      <c r="C74" s="27">
        <v>0</v>
      </c>
      <c r="D74" s="26"/>
      <c r="E74" s="49"/>
    </row>
    <row r="75" spans="1:5" ht="18" customHeight="1">
      <c r="A75" s="47" t="s">
        <v>321</v>
      </c>
      <c r="B75" s="116">
        <v>0</v>
      </c>
      <c r="C75" s="27">
        <v>0</v>
      </c>
      <c r="D75" s="26"/>
      <c r="E75" s="49"/>
    </row>
    <row r="76" spans="1:5" ht="18" customHeight="1">
      <c r="A76" s="47" t="s">
        <v>322</v>
      </c>
      <c r="B76" s="116">
        <v>777900</v>
      </c>
      <c r="C76" s="27">
        <v>0</v>
      </c>
      <c r="D76" s="26"/>
      <c r="E76" s="49"/>
    </row>
    <row r="77" spans="1:5" ht="18" customHeight="1">
      <c r="A77" s="164" t="s">
        <v>19</v>
      </c>
      <c r="B77" s="168">
        <f>SUM(B37,B43,B45,B47,B52,B58,B59,B63,B65,)</f>
        <v>3494720</v>
      </c>
      <c r="C77" s="168">
        <f>SUM(C37,C43,C45,C47,C52,C58,C59,C63,C65,)</f>
        <v>384700.48</v>
      </c>
      <c r="D77" s="166">
        <f>IF(B77=0,"   ",C77/B77*100)</f>
        <v>11.008048713487776</v>
      </c>
      <c r="E77" s="167">
        <f>C77-B77</f>
        <v>-3110019.52</v>
      </c>
    </row>
    <row r="78" spans="1:5" ht="14.25" customHeight="1" thickBot="1">
      <c r="A78" s="98" t="s">
        <v>210</v>
      </c>
      <c r="B78" s="212">
        <f>B39+B61</f>
        <v>476900</v>
      </c>
      <c r="C78" s="212">
        <f>C39+C61</f>
        <v>83742.64</v>
      </c>
      <c r="D78" s="99">
        <f>IF(B78=0,"   ",C78/B78*100)</f>
        <v>17.559790312434473</v>
      </c>
      <c r="E78" s="100">
        <f>C78-B78</f>
        <v>-393157.36</v>
      </c>
    </row>
    <row r="79" spans="1:5" s="76" customFormat="1" ht="23.25" customHeight="1">
      <c r="A79" s="110" t="s">
        <v>249</v>
      </c>
      <c r="B79" s="110"/>
      <c r="C79" s="250"/>
      <c r="D79" s="250"/>
      <c r="E79" s="250"/>
    </row>
    <row r="80" spans="1:5" s="76" customFormat="1" ht="12" customHeight="1">
      <c r="A80" s="110" t="s">
        <v>248</v>
      </c>
      <c r="B80" s="110"/>
      <c r="C80" s="111" t="s">
        <v>250</v>
      </c>
      <c r="D80" s="112"/>
      <c r="E80" s="113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</sheetData>
  <mergeCells count="2">
    <mergeCell ref="A1:E1"/>
    <mergeCell ref="C79:E79"/>
  </mergeCells>
  <printOptions/>
  <pageMargins left="0.7874015748031497" right="0.7874015748031497" top="0.4724409448818898" bottom="0.5118110236220472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Normal="75" zoomScaleSheetLayoutView="100" workbookViewId="0" topLeftCell="A73">
      <selection activeCell="B92" sqref="B92"/>
    </sheetView>
  </sheetViews>
  <sheetFormatPr defaultColWidth="9.00390625" defaultRowHeight="12.75"/>
  <cols>
    <col min="1" max="1" width="92.87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52" t="s">
        <v>305</v>
      </c>
      <c r="B1" s="252"/>
      <c r="C1" s="252"/>
      <c r="D1" s="252"/>
      <c r="E1" s="252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5" t="s">
        <v>1</v>
      </c>
      <c r="B3" s="19" t="s">
        <v>282</v>
      </c>
      <c r="C3" s="32" t="s">
        <v>303</v>
      </c>
      <c r="D3" s="19" t="s">
        <v>280</v>
      </c>
      <c r="E3" s="19" t="s">
        <v>281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58</v>
      </c>
      <c r="B6" s="191">
        <f>SUM(B7)</f>
        <v>96500</v>
      </c>
      <c r="C6" s="191">
        <f>SUM(C7)</f>
        <v>14115.78</v>
      </c>
      <c r="D6" s="26">
        <f aca="true" t="shared" si="0" ref="D6:D70">IF(B6=0,"   ",C6/B6*100)</f>
        <v>14.627751295336788</v>
      </c>
      <c r="E6" s="49">
        <f aca="true" t="shared" si="1" ref="E6:E94">C6-B6</f>
        <v>-82384.22</v>
      </c>
    </row>
    <row r="7" spans="1:5" ht="15" customHeight="1">
      <c r="A7" s="16" t="s">
        <v>57</v>
      </c>
      <c r="B7" s="25">
        <v>96500</v>
      </c>
      <c r="C7" s="27">
        <v>14115.78</v>
      </c>
      <c r="D7" s="26">
        <f t="shared" si="0"/>
        <v>14.627751295336788</v>
      </c>
      <c r="E7" s="49">
        <f t="shared" si="1"/>
        <v>-82384.22</v>
      </c>
    </row>
    <row r="8" spans="1:5" ht="16.5" customHeight="1">
      <c r="A8" s="16" t="s">
        <v>7</v>
      </c>
      <c r="B8" s="193">
        <f>B9</f>
        <v>16800</v>
      </c>
      <c r="C8" s="193">
        <f>C9</f>
        <v>32141.7</v>
      </c>
      <c r="D8" s="26">
        <f t="shared" si="0"/>
        <v>191.31964285714287</v>
      </c>
      <c r="E8" s="49">
        <f t="shared" si="1"/>
        <v>15341.7</v>
      </c>
    </row>
    <row r="9" spans="1:5" ht="15" customHeight="1">
      <c r="A9" s="16" t="s">
        <v>38</v>
      </c>
      <c r="B9" s="25">
        <v>16800</v>
      </c>
      <c r="C9" s="27">
        <v>32141.7</v>
      </c>
      <c r="D9" s="26">
        <f t="shared" si="0"/>
        <v>191.31964285714287</v>
      </c>
      <c r="E9" s="49">
        <f t="shared" si="1"/>
        <v>15341.7</v>
      </c>
    </row>
    <row r="10" spans="1:5" ht="15" customHeight="1">
      <c r="A10" s="16" t="s">
        <v>9</v>
      </c>
      <c r="B10" s="193">
        <f>SUM(B11:B12)</f>
        <v>120000</v>
      </c>
      <c r="C10" s="193">
        <f>SUM(C11:C12)</f>
        <v>12948.67</v>
      </c>
      <c r="D10" s="26">
        <f t="shared" si="0"/>
        <v>10.790558333333333</v>
      </c>
      <c r="E10" s="49">
        <f t="shared" si="1"/>
        <v>-107051.33</v>
      </c>
    </row>
    <row r="11" spans="1:5" ht="12.75" customHeight="1">
      <c r="A11" s="16" t="s">
        <v>39</v>
      </c>
      <c r="B11" s="25">
        <v>60000</v>
      </c>
      <c r="C11" s="27">
        <v>457.82</v>
      </c>
      <c r="D11" s="26">
        <f t="shared" si="0"/>
        <v>0.7630333333333333</v>
      </c>
      <c r="E11" s="49">
        <f t="shared" si="1"/>
        <v>-59542.18</v>
      </c>
    </row>
    <row r="12" spans="1:5" ht="15" customHeight="1">
      <c r="A12" s="16" t="s">
        <v>10</v>
      </c>
      <c r="B12" s="25">
        <v>60000</v>
      </c>
      <c r="C12" s="27">
        <v>12490.85</v>
      </c>
      <c r="D12" s="26">
        <f t="shared" si="0"/>
        <v>20.818083333333334</v>
      </c>
      <c r="E12" s="49">
        <f t="shared" si="1"/>
        <v>-47509.15</v>
      </c>
    </row>
    <row r="13" spans="1:5" ht="27.75" customHeight="1">
      <c r="A13" s="16" t="s">
        <v>126</v>
      </c>
      <c r="B13" s="25">
        <v>0</v>
      </c>
      <c r="C13" s="25">
        <v>0</v>
      </c>
      <c r="D13" s="26" t="str">
        <f t="shared" si="0"/>
        <v>   </v>
      </c>
      <c r="E13" s="49">
        <f t="shared" si="1"/>
        <v>0</v>
      </c>
    </row>
    <row r="14" spans="1:5" ht="27.75" customHeight="1">
      <c r="A14" s="16" t="s">
        <v>40</v>
      </c>
      <c r="B14" s="193">
        <f>SUM(B15:B16)</f>
        <v>130100</v>
      </c>
      <c r="C14" s="193">
        <f>SUM(C15:C16)</f>
        <v>48111.98</v>
      </c>
      <c r="D14" s="26">
        <f t="shared" si="0"/>
        <v>36.98076863950807</v>
      </c>
      <c r="E14" s="49">
        <f t="shared" si="1"/>
        <v>-81988.01999999999</v>
      </c>
    </row>
    <row r="15" spans="1:5" ht="12.75" customHeight="1">
      <c r="A15" s="16" t="s">
        <v>41</v>
      </c>
      <c r="B15" s="25">
        <v>29600</v>
      </c>
      <c r="C15" s="25">
        <v>48111.98</v>
      </c>
      <c r="D15" s="26">
        <f t="shared" si="0"/>
        <v>162.540472972973</v>
      </c>
      <c r="E15" s="49">
        <f t="shared" si="1"/>
        <v>18511.980000000003</v>
      </c>
    </row>
    <row r="16" spans="1:5" ht="26.25" customHeight="1">
      <c r="A16" s="16" t="s">
        <v>42</v>
      </c>
      <c r="B16" s="25">
        <v>100500</v>
      </c>
      <c r="C16" s="25">
        <v>0</v>
      </c>
      <c r="D16" s="26">
        <f t="shared" si="0"/>
        <v>0</v>
      </c>
      <c r="E16" s="49">
        <f t="shared" si="1"/>
        <v>-100500</v>
      </c>
    </row>
    <row r="17" spans="1:5" ht="15.75" customHeight="1">
      <c r="A17" s="42" t="s">
        <v>131</v>
      </c>
      <c r="B17" s="25">
        <v>0</v>
      </c>
      <c r="C17" s="27">
        <v>0</v>
      </c>
      <c r="D17" s="26" t="str">
        <f t="shared" si="0"/>
        <v>   </v>
      </c>
      <c r="E17" s="49">
        <f t="shared" si="1"/>
        <v>0</v>
      </c>
    </row>
    <row r="18" spans="1:5" ht="15.75" customHeight="1">
      <c r="A18" s="16" t="s">
        <v>104</v>
      </c>
      <c r="B18" s="191">
        <f>B19</f>
        <v>0</v>
      </c>
      <c r="C18" s="191">
        <f>C19</f>
        <v>4633.88</v>
      </c>
      <c r="D18" s="26" t="str">
        <f t="shared" si="0"/>
        <v>   </v>
      </c>
      <c r="E18" s="49">
        <f t="shared" si="1"/>
        <v>4633.88</v>
      </c>
    </row>
    <row r="19" spans="1:5" ht="27.75" customHeight="1">
      <c r="A19" s="16" t="s">
        <v>105</v>
      </c>
      <c r="B19" s="25">
        <v>0</v>
      </c>
      <c r="C19" s="27">
        <v>4633.88</v>
      </c>
      <c r="D19" s="26" t="str">
        <f t="shared" si="0"/>
        <v>   </v>
      </c>
      <c r="E19" s="49">
        <f t="shared" si="1"/>
        <v>4633.88</v>
      </c>
    </row>
    <row r="20" spans="1:5" ht="13.5" customHeight="1">
      <c r="A20" s="16" t="s">
        <v>44</v>
      </c>
      <c r="B20" s="193">
        <f>SUM(B21:B22)</f>
        <v>0</v>
      </c>
      <c r="C20" s="193">
        <f>SUM(C21:C22)</f>
        <v>500</v>
      </c>
      <c r="D20" s="26" t="str">
        <f t="shared" si="0"/>
        <v>   </v>
      </c>
      <c r="E20" s="49">
        <f t="shared" si="1"/>
        <v>500</v>
      </c>
    </row>
    <row r="21" spans="1:5" ht="13.5" customHeight="1">
      <c r="A21" s="16" t="s">
        <v>271</v>
      </c>
      <c r="B21" s="25">
        <v>0</v>
      </c>
      <c r="C21" s="25">
        <v>0</v>
      </c>
      <c r="D21" s="26"/>
      <c r="E21" s="49"/>
    </row>
    <row r="22" spans="1:5" ht="15" customHeight="1">
      <c r="A22" s="16" t="s">
        <v>66</v>
      </c>
      <c r="B22" s="25">
        <v>0</v>
      </c>
      <c r="C22" s="27">
        <v>500</v>
      </c>
      <c r="D22" s="26" t="str">
        <f t="shared" si="0"/>
        <v>   </v>
      </c>
      <c r="E22" s="49">
        <f t="shared" si="1"/>
        <v>500</v>
      </c>
    </row>
    <row r="23" spans="1:5" ht="13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6.5" customHeight="1">
      <c r="A24" s="164" t="s">
        <v>11</v>
      </c>
      <c r="B24" s="165">
        <f>SUM(B6,B8,B10,B13,B14,B17,B18,B22,B23,)</f>
        <v>363400</v>
      </c>
      <c r="C24" s="165">
        <f>SUM(C6,C8,C10,C13,C14,C17,C18,C20,C23)</f>
        <v>112452.01000000001</v>
      </c>
      <c r="D24" s="166">
        <f t="shared" si="0"/>
        <v>30.944416620803526</v>
      </c>
      <c r="E24" s="167">
        <f t="shared" si="1"/>
        <v>-250947.99</v>
      </c>
    </row>
    <row r="25" spans="1:5" ht="18" customHeight="1">
      <c r="A25" s="17" t="s">
        <v>46</v>
      </c>
      <c r="B25" s="24">
        <v>1168100</v>
      </c>
      <c r="C25" s="24">
        <v>292750</v>
      </c>
      <c r="D25" s="26">
        <f t="shared" si="0"/>
        <v>25.062066603886652</v>
      </c>
      <c r="E25" s="49">
        <f t="shared" si="1"/>
        <v>-875350</v>
      </c>
    </row>
    <row r="26" spans="1:5" ht="15.75" customHeight="1">
      <c r="A26" s="16" t="s">
        <v>63</v>
      </c>
      <c r="B26" s="25">
        <v>100000</v>
      </c>
      <c r="C26" s="27">
        <v>0</v>
      </c>
      <c r="D26" s="26">
        <f t="shared" si="0"/>
        <v>0</v>
      </c>
      <c r="E26" s="49">
        <f t="shared" si="1"/>
        <v>-100000</v>
      </c>
    </row>
    <row r="27" spans="1:5" ht="26.25" customHeight="1">
      <c r="A27" s="200" t="s">
        <v>67</v>
      </c>
      <c r="B27" s="201">
        <v>50800</v>
      </c>
      <c r="C27" s="201">
        <v>50300</v>
      </c>
      <c r="D27" s="202">
        <f t="shared" si="0"/>
        <v>99.01574803149606</v>
      </c>
      <c r="E27" s="203">
        <f t="shared" si="1"/>
        <v>-500</v>
      </c>
    </row>
    <row r="28" spans="1:5" ht="27.75" customHeight="1">
      <c r="A28" s="204" t="s">
        <v>140</v>
      </c>
      <c r="B28" s="201">
        <v>100</v>
      </c>
      <c r="C28" s="205">
        <v>0</v>
      </c>
      <c r="D28" s="202">
        <f t="shared" si="0"/>
        <v>0</v>
      </c>
      <c r="E28" s="203">
        <f t="shared" si="1"/>
        <v>-100</v>
      </c>
    </row>
    <row r="29" spans="1:5" ht="26.25" customHeight="1">
      <c r="A29" s="16" t="s">
        <v>115</v>
      </c>
      <c r="B29" s="25">
        <v>0</v>
      </c>
      <c r="C29" s="25">
        <v>0</v>
      </c>
      <c r="D29" s="26" t="str">
        <f t="shared" si="0"/>
        <v>   </v>
      </c>
      <c r="E29" s="49">
        <f t="shared" si="1"/>
        <v>0</v>
      </c>
    </row>
    <row r="30" spans="1:5" ht="27" customHeight="1">
      <c r="A30" s="16" t="s">
        <v>170</v>
      </c>
      <c r="B30" s="25">
        <v>0</v>
      </c>
      <c r="C30" s="25">
        <v>0</v>
      </c>
      <c r="D30" s="26" t="str">
        <f t="shared" si="0"/>
        <v>   </v>
      </c>
      <c r="E30" s="49">
        <f t="shared" si="1"/>
        <v>0</v>
      </c>
    </row>
    <row r="31" spans="1:5" ht="30" customHeight="1">
      <c r="A31" s="16" t="s">
        <v>153</v>
      </c>
      <c r="B31" s="25">
        <v>0</v>
      </c>
      <c r="C31" s="25">
        <v>0</v>
      </c>
      <c r="D31" s="26" t="str">
        <f t="shared" si="0"/>
        <v>   </v>
      </c>
      <c r="E31" s="49">
        <f t="shared" si="1"/>
        <v>0</v>
      </c>
    </row>
    <row r="32" spans="1:5" ht="26.25" customHeight="1">
      <c r="A32" s="200" t="s">
        <v>149</v>
      </c>
      <c r="B32" s="201">
        <v>3300</v>
      </c>
      <c r="C32" s="201">
        <v>0</v>
      </c>
      <c r="D32" s="202">
        <f t="shared" si="0"/>
        <v>0</v>
      </c>
      <c r="E32" s="203">
        <f t="shared" si="1"/>
        <v>-3300</v>
      </c>
    </row>
    <row r="33" spans="1:5" ht="40.5" customHeight="1">
      <c r="A33" s="16" t="s">
        <v>154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15" customHeight="1">
      <c r="A34" s="16" t="s">
        <v>72</v>
      </c>
      <c r="B34" s="194">
        <f>B35</f>
        <v>223000</v>
      </c>
      <c r="C34" s="194">
        <f>C35</f>
        <v>0</v>
      </c>
      <c r="D34" s="26">
        <f t="shared" si="0"/>
        <v>0</v>
      </c>
      <c r="E34" s="49">
        <f t="shared" si="1"/>
        <v>-223000</v>
      </c>
    </row>
    <row r="35" spans="1:5" s="7" customFormat="1" ht="14.25" customHeight="1">
      <c r="A35" s="63" t="s">
        <v>180</v>
      </c>
      <c r="B35" s="64">
        <v>223000</v>
      </c>
      <c r="C35" s="27">
        <v>0</v>
      </c>
      <c r="D35" s="64">
        <f t="shared" si="0"/>
        <v>0</v>
      </c>
      <c r="E35" s="43">
        <f t="shared" si="1"/>
        <v>-223000</v>
      </c>
    </row>
    <row r="36" spans="1:5" ht="18" customHeight="1">
      <c r="A36" s="164" t="s">
        <v>14</v>
      </c>
      <c r="B36" s="214">
        <f>SUM(B24,B25,B26:B34)</f>
        <v>1908700</v>
      </c>
      <c r="C36" s="214">
        <f>SUM(C24,C25,C26:C34,)</f>
        <v>455502.01</v>
      </c>
      <c r="D36" s="166">
        <f t="shared" si="0"/>
        <v>23.86451563891654</v>
      </c>
      <c r="E36" s="167">
        <f t="shared" si="1"/>
        <v>-1453197.99</v>
      </c>
    </row>
    <row r="37" spans="1:5" ht="15" customHeight="1" thickBot="1">
      <c r="A37" s="155" t="s">
        <v>15</v>
      </c>
      <c r="B37" s="156"/>
      <c r="C37" s="157"/>
      <c r="D37" s="169" t="str">
        <f t="shared" si="0"/>
        <v>   </v>
      </c>
      <c r="E37" s="170">
        <f t="shared" si="1"/>
        <v>0</v>
      </c>
    </row>
    <row r="38" spans="1:5" ht="13.5" customHeight="1" thickBot="1">
      <c r="A38" s="186" t="s">
        <v>48</v>
      </c>
      <c r="B38" s="187">
        <v>755700</v>
      </c>
      <c r="C38" s="187">
        <v>121814.03</v>
      </c>
      <c r="D38" s="188">
        <f t="shared" si="0"/>
        <v>16.119363504035995</v>
      </c>
      <c r="E38" s="189">
        <f t="shared" si="1"/>
        <v>-633885.97</v>
      </c>
    </row>
    <row r="39" spans="1:5" ht="15.75" customHeight="1">
      <c r="A39" s="174" t="s">
        <v>49</v>
      </c>
      <c r="B39" s="175">
        <v>755200</v>
      </c>
      <c r="C39" s="175">
        <v>121814.03</v>
      </c>
      <c r="D39" s="176">
        <f t="shared" si="0"/>
        <v>16.130035752118644</v>
      </c>
      <c r="E39" s="177">
        <f t="shared" si="1"/>
        <v>-633385.97</v>
      </c>
    </row>
    <row r="40" spans="1:5" ht="14.25" customHeight="1">
      <c r="A40" s="118" t="s">
        <v>206</v>
      </c>
      <c r="B40" s="25">
        <v>476900</v>
      </c>
      <c r="C40" s="28">
        <v>79891.64</v>
      </c>
      <c r="D40" s="26">
        <f t="shared" si="0"/>
        <v>16.752283497588593</v>
      </c>
      <c r="E40" s="49">
        <f t="shared" si="1"/>
        <v>-397008.36</v>
      </c>
    </row>
    <row r="41" spans="1:5" ht="12.75">
      <c r="A41" s="16" t="s">
        <v>181</v>
      </c>
      <c r="B41" s="25">
        <v>100</v>
      </c>
      <c r="C41" s="28">
        <v>0</v>
      </c>
      <c r="D41" s="26">
        <f t="shared" si="0"/>
        <v>0</v>
      </c>
      <c r="E41" s="49">
        <f t="shared" si="1"/>
        <v>-100</v>
      </c>
    </row>
    <row r="42" spans="1:5" ht="12.75" customHeight="1">
      <c r="A42" s="16" t="s">
        <v>141</v>
      </c>
      <c r="B42" s="25">
        <v>500</v>
      </c>
      <c r="C42" s="27">
        <v>0</v>
      </c>
      <c r="D42" s="26">
        <f t="shared" si="0"/>
        <v>0</v>
      </c>
      <c r="E42" s="49">
        <f t="shared" si="1"/>
        <v>-500</v>
      </c>
    </row>
    <row r="43" spans="1:5" ht="12.75" customHeight="1">
      <c r="A43" s="16" t="s">
        <v>69</v>
      </c>
      <c r="B43" s="193">
        <f>B44</f>
        <v>0</v>
      </c>
      <c r="C43" s="193">
        <f>C44</f>
        <v>0</v>
      </c>
      <c r="D43" s="26" t="str">
        <f t="shared" si="0"/>
        <v>   </v>
      </c>
      <c r="E43" s="49">
        <f t="shared" si="1"/>
        <v>0</v>
      </c>
    </row>
    <row r="44" spans="1:5" ht="24" customHeight="1" thickBot="1">
      <c r="A44" s="154" t="s">
        <v>85</v>
      </c>
      <c r="B44" s="171">
        <v>0</v>
      </c>
      <c r="C44" s="172">
        <v>0</v>
      </c>
      <c r="D44" s="26" t="str">
        <f t="shared" si="0"/>
        <v>   </v>
      </c>
      <c r="E44" s="49">
        <f t="shared" si="1"/>
        <v>0</v>
      </c>
    </row>
    <row r="45" spans="1:5" ht="14.25" customHeight="1" thickBot="1">
      <c r="A45" s="186" t="s">
        <v>65</v>
      </c>
      <c r="B45" s="195">
        <f>SUM(B46)</f>
        <v>50800</v>
      </c>
      <c r="C45" s="195">
        <f>SUM(C46)</f>
        <v>10977.52</v>
      </c>
      <c r="D45" s="188">
        <f t="shared" si="0"/>
        <v>21.60929133858268</v>
      </c>
      <c r="E45" s="189">
        <f t="shared" si="1"/>
        <v>-39822.479999999996</v>
      </c>
    </row>
    <row r="46" spans="1:5" ht="13.5" customHeight="1" thickBot="1">
      <c r="A46" s="178" t="s">
        <v>176</v>
      </c>
      <c r="B46" s="179">
        <v>50800</v>
      </c>
      <c r="C46" s="236">
        <v>10977.52</v>
      </c>
      <c r="D46" s="181">
        <f t="shared" si="0"/>
        <v>21.60929133858268</v>
      </c>
      <c r="E46" s="182">
        <f t="shared" si="1"/>
        <v>-39822.479999999996</v>
      </c>
    </row>
    <row r="47" spans="1:5" ht="17.25" customHeight="1" thickBot="1">
      <c r="A47" s="186" t="s">
        <v>50</v>
      </c>
      <c r="B47" s="196">
        <f>SUM(B48)</f>
        <v>500</v>
      </c>
      <c r="C47" s="195">
        <f>SUM(C48)</f>
        <v>0</v>
      </c>
      <c r="D47" s="188">
        <f t="shared" si="0"/>
        <v>0</v>
      </c>
      <c r="E47" s="189">
        <f t="shared" si="1"/>
        <v>-500</v>
      </c>
    </row>
    <row r="48" spans="1:5" ht="27" customHeight="1">
      <c r="A48" s="145" t="s">
        <v>129</v>
      </c>
      <c r="B48" s="175">
        <v>500</v>
      </c>
      <c r="C48" s="183">
        <v>0</v>
      </c>
      <c r="D48" s="176">
        <f t="shared" si="0"/>
        <v>0</v>
      </c>
      <c r="E48" s="177">
        <f t="shared" si="1"/>
        <v>-500</v>
      </c>
    </row>
    <row r="49" spans="1:5" ht="15" customHeight="1">
      <c r="A49" s="247" t="s">
        <v>51</v>
      </c>
      <c r="B49" s="171">
        <f>B50</f>
        <v>303000</v>
      </c>
      <c r="C49" s="171">
        <f>C50</f>
        <v>30000</v>
      </c>
      <c r="D49" s="169">
        <f t="shared" si="0"/>
        <v>9.900990099009901</v>
      </c>
      <c r="E49" s="170">
        <f t="shared" si="1"/>
        <v>-273000</v>
      </c>
    </row>
    <row r="50" spans="1:5" ht="15" customHeight="1">
      <c r="A50" s="248" t="s">
        <v>285</v>
      </c>
      <c r="B50" s="25">
        <f>B51+B52+B53</f>
        <v>303000</v>
      </c>
      <c r="C50" s="25">
        <f>C51+C52+C53</f>
        <v>30000</v>
      </c>
      <c r="D50" s="26"/>
      <c r="E50" s="27"/>
    </row>
    <row r="51" spans="1:5" ht="15" customHeight="1">
      <c r="A51" s="248" t="s">
        <v>323</v>
      </c>
      <c r="B51" s="25">
        <v>158900</v>
      </c>
      <c r="C51" s="25">
        <v>0</v>
      </c>
      <c r="D51" s="26"/>
      <c r="E51" s="27"/>
    </row>
    <row r="52" spans="1:5" ht="30" customHeight="1">
      <c r="A52" s="248" t="s">
        <v>286</v>
      </c>
      <c r="B52" s="25">
        <v>64100</v>
      </c>
      <c r="C52" s="25">
        <v>0</v>
      </c>
      <c r="D52" s="26"/>
      <c r="E52" s="27"/>
    </row>
    <row r="53" spans="1:5" ht="31.5" customHeight="1">
      <c r="A53" s="248" t="s">
        <v>287</v>
      </c>
      <c r="B53" s="25">
        <v>80000</v>
      </c>
      <c r="C53" s="25">
        <v>30000</v>
      </c>
      <c r="D53" s="26"/>
      <c r="E53" s="27"/>
    </row>
    <row r="54" spans="1:5" ht="15" customHeight="1" thickBot="1">
      <c r="A54" s="243" t="s">
        <v>16</v>
      </c>
      <c r="B54" s="244">
        <f>SUM(B57,B55)</f>
        <v>170000</v>
      </c>
      <c r="C54" s="244">
        <f>SUM(C57,C55)</f>
        <v>69400</v>
      </c>
      <c r="D54" s="245">
        <f t="shared" si="0"/>
        <v>40.82352941176471</v>
      </c>
      <c r="E54" s="246">
        <f t="shared" si="1"/>
        <v>-100600</v>
      </c>
    </row>
    <row r="55" spans="1:5" ht="15" customHeight="1">
      <c r="A55" s="174" t="s">
        <v>130</v>
      </c>
      <c r="B55" s="199">
        <f>B56</f>
        <v>0</v>
      </c>
      <c r="C55" s="199">
        <f>C56</f>
        <v>0</v>
      </c>
      <c r="D55" s="176" t="str">
        <f t="shared" si="0"/>
        <v>   </v>
      </c>
      <c r="E55" s="177">
        <f t="shared" si="1"/>
        <v>0</v>
      </c>
    </row>
    <row r="56" spans="1:5" ht="15" customHeight="1">
      <c r="A56" s="118" t="s">
        <v>230</v>
      </c>
      <c r="B56" s="25">
        <v>0</v>
      </c>
      <c r="C56" s="25">
        <v>0</v>
      </c>
      <c r="D56" s="26" t="str">
        <f t="shared" si="0"/>
        <v>   </v>
      </c>
      <c r="E56" s="49">
        <f t="shared" si="1"/>
        <v>0</v>
      </c>
    </row>
    <row r="57" spans="1:5" ht="15" customHeight="1">
      <c r="A57" s="16" t="s">
        <v>79</v>
      </c>
      <c r="B57" s="25">
        <v>170000</v>
      </c>
      <c r="C57" s="25">
        <v>69400</v>
      </c>
      <c r="D57" s="26">
        <f t="shared" si="0"/>
        <v>40.82352941176471</v>
      </c>
      <c r="E57" s="49">
        <f t="shared" si="1"/>
        <v>-100600</v>
      </c>
    </row>
    <row r="58" spans="1:5" ht="15" customHeight="1">
      <c r="A58" s="16" t="s">
        <v>81</v>
      </c>
      <c r="B58" s="25">
        <v>150000</v>
      </c>
      <c r="C58" s="27">
        <v>69400</v>
      </c>
      <c r="D58" s="26">
        <f t="shared" si="0"/>
        <v>46.266666666666666</v>
      </c>
      <c r="E58" s="49">
        <f t="shared" si="1"/>
        <v>-80600</v>
      </c>
    </row>
    <row r="59" spans="1:5" ht="15" customHeight="1" thickBot="1">
      <c r="A59" s="154" t="s">
        <v>80</v>
      </c>
      <c r="B59" s="171">
        <v>20000</v>
      </c>
      <c r="C59" s="172">
        <v>0</v>
      </c>
      <c r="D59" s="169">
        <f t="shared" si="0"/>
        <v>0</v>
      </c>
      <c r="E59" s="170">
        <f t="shared" si="1"/>
        <v>-20000</v>
      </c>
    </row>
    <row r="60" spans="1:5" ht="15" customHeight="1" thickBot="1">
      <c r="A60" s="190" t="s">
        <v>24</v>
      </c>
      <c r="B60" s="148">
        <v>5000</v>
      </c>
      <c r="C60" s="148">
        <v>0</v>
      </c>
      <c r="D60" s="188">
        <f t="shared" si="0"/>
        <v>0</v>
      </c>
      <c r="E60" s="189">
        <f t="shared" si="1"/>
        <v>-5000</v>
      </c>
    </row>
    <row r="61" spans="1:5" ht="13.5" customHeight="1" thickBot="1">
      <c r="A61" s="186" t="s">
        <v>54</v>
      </c>
      <c r="B61" s="197">
        <f>B62</f>
        <v>598800</v>
      </c>
      <c r="C61" s="197">
        <f>C62</f>
        <v>122400</v>
      </c>
      <c r="D61" s="188">
        <f t="shared" si="0"/>
        <v>20.440881763527056</v>
      </c>
      <c r="E61" s="189">
        <f t="shared" si="1"/>
        <v>-476400</v>
      </c>
    </row>
    <row r="62" spans="1:5" ht="12.75">
      <c r="A62" s="174" t="s">
        <v>55</v>
      </c>
      <c r="B62" s="175">
        <v>598800</v>
      </c>
      <c r="C62" s="183">
        <v>122400</v>
      </c>
      <c r="D62" s="176">
        <f t="shared" si="0"/>
        <v>20.440881763527056</v>
      </c>
      <c r="E62" s="177">
        <f t="shared" si="1"/>
        <v>-476400</v>
      </c>
    </row>
    <row r="63" spans="1:5" ht="15.75" customHeight="1">
      <c r="A63" s="118" t="s">
        <v>207</v>
      </c>
      <c r="B63" s="25">
        <v>0</v>
      </c>
      <c r="C63" s="27">
        <v>0</v>
      </c>
      <c r="D63" s="26" t="str">
        <f t="shared" si="0"/>
        <v>   </v>
      </c>
      <c r="E63" s="49">
        <f t="shared" si="1"/>
        <v>0</v>
      </c>
    </row>
    <row r="64" spans="1:5" ht="12.75">
      <c r="A64" s="200" t="s">
        <v>172</v>
      </c>
      <c r="B64" s="225">
        <f>SUM(B65:B67)</f>
        <v>0</v>
      </c>
      <c r="C64" s="225">
        <f>SUM(C65:C67)</f>
        <v>0</v>
      </c>
      <c r="D64" s="202" t="str">
        <f t="shared" si="0"/>
        <v>   </v>
      </c>
      <c r="E64" s="203">
        <f t="shared" si="1"/>
        <v>0</v>
      </c>
    </row>
    <row r="65" spans="1:5" ht="12.75">
      <c r="A65" s="200" t="s">
        <v>173</v>
      </c>
      <c r="B65" s="201">
        <v>0</v>
      </c>
      <c r="C65" s="205">
        <v>0</v>
      </c>
      <c r="D65" s="202" t="str">
        <f t="shared" si="0"/>
        <v>   </v>
      </c>
      <c r="E65" s="203">
        <f t="shared" si="1"/>
        <v>0</v>
      </c>
    </row>
    <row r="66" spans="1:5" ht="13.5" customHeight="1">
      <c r="A66" s="200" t="s">
        <v>201</v>
      </c>
      <c r="B66" s="201">
        <v>0</v>
      </c>
      <c r="C66" s="205">
        <v>0</v>
      </c>
      <c r="D66" s="202" t="str">
        <f t="shared" si="0"/>
        <v>   </v>
      </c>
      <c r="E66" s="203">
        <f t="shared" si="1"/>
        <v>0</v>
      </c>
    </row>
    <row r="67" spans="1:5" ht="13.5" customHeight="1">
      <c r="A67" s="200" t="s">
        <v>174</v>
      </c>
      <c r="B67" s="201">
        <v>0</v>
      </c>
      <c r="C67" s="205">
        <v>0</v>
      </c>
      <c r="D67" s="202" t="str">
        <f t="shared" si="0"/>
        <v>   </v>
      </c>
      <c r="E67" s="203">
        <f t="shared" si="1"/>
        <v>0</v>
      </c>
    </row>
    <row r="68" spans="1:5" ht="13.5" customHeight="1">
      <c r="A68" s="16" t="s">
        <v>177</v>
      </c>
      <c r="B68" s="25">
        <v>3300</v>
      </c>
      <c r="C68" s="27">
        <v>0</v>
      </c>
      <c r="D68" s="26">
        <f t="shared" si="0"/>
        <v>0</v>
      </c>
      <c r="E68" s="49">
        <f t="shared" si="1"/>
        <v>-3300</v>
      </c>
    </row>
    <row r="69" spans="1:5" ht="13.5" customHeight="1">
      <c r="A69" s="16" t="s">
        <v>214</v>
      </c>
      <c r="B69" s="193">
        <f>SUM(B70,)</f>
        <v>20000</v>
      </c>
      <c r="C69" s="193">
        <f>SUM(C70,)</f>
        <v>0</v>
      </c>
      <c r="D69" s="26">
        <f t="shared" si="0"/>
        <v>0</v>
      </c>
      <c r="E69" s="49">
        <f t="shared" si="1"/>
        <v>-20000</v>
      </c>
    </row>
    <row r="70" spans="1:5" ht="14.25" customHeight="1" thickBot="1">
      <c r="A70" s="154" t="s">
        <v>56</v>
      </c>
      <c r="B70" s="171">
        <v>20000</v>
      </c>
      <c r="C70" s="173">
        <v>0</v>
      </c>
      <c r="D70" s="169">
        <f t="shared" si="0"/>
        <v>0</v>
      </c>
      <c r="E70" s="170">
        <f t="shared" si="1"/>
        <v>-20000</v>
      </c>
    </row>
    <row r="71" spans="1:5" ht="13.5" thickBot="1">
      <c r="A71" s="186" t="s">
        <v>18</v>
      </c>
      <c r="B71" s="196">
        <f>B72</f>
        <v>73400</v>
      </c>
      <c r="C71" s="196">
        <f>C72</f>
        <v>0</v>
      </c>
      <c r="D71" s="188">
        <f aca="true" t="shared" si="2" ref="D71:D94">IF(B71=0,"   ",C71/B71*100)</f>
        <v>0</v>
      </c>
      <c r="E71" s="189">
        <f t="shared" si="1"/>
        <v>-73400</v>
      </c>
    </row>
    <row r="72" spans="1:5" ht="12.75">
      <c r="A72" s="174" t="s">
        <v>221</v>
      </c>
      <c r="B72" s="199">
        <f>SUM(B89,B82,B73)</f>
        <v>73400</v>
      </c>
      <c r="C72" s="199">
        <f>SUM(C89,C82,C73)</f>
        <v>0</v>
      </c>
      <c r="D72" s="176">
        <f t="shared" si="2"/>
        <v>0</v>
      </c>
      <c r="E72" s="177">
        <f t="shared" si="1"/>
        <v>-73400</v>
      </c>
    </row>
    <row r="73" spans="1:5" ht="12.75">
      <c r="A73" s="158" t="s">
        <v>252</v>
      </c>
      <c r="B73" s="198">
        <f>SUM(B74,B78)</f>
        <v>73400</v>
      </c>
      <c r="C73" s="198">
        <f>C74+C78</f>
        <v>0</v>
      </c>
      <c r="D73" s="26">
        <f t="shared" si="2"/>
        <v>0</v>
      </c>
      <c r="E73" s="49">
        <f t="shared" si="1"/>
        <v>-73400</v>
      </c>
    </row>
    <row r="74" spans="1:5" ht="12.75">
      <c r="A74" s="118" t="s">
        <v>226</v>
      </c>
      <c r="B74" s="211">
        <f>SUM(B75:B77)</f>
        <v>73400</v>
      </c>
      <c r="C74" s="211">
        <f>SUM(C75:C77)</f>
        <v>0</v>
      </c>
      <c r="D74" s="26">
        <f t="shared" si="2"/>
        <v>0</v>
      </c>
      <c r="E74" s="49">
        <f t="shared" si="1"/>
        <v>-73400</v>
      </c>
    </row>
    <row r="75" spans="1:5" ht="14.25" customHeight="1">
      <c r="A75" s="47" t="s">
        <v>233</v>
      </c>
      <c r="B75" s="116">
        <v>0</v>
      </c>
      <c r="C75" s="25">
        <v>0</v>
      </c>
      <c r="D75" s="26" t="str">
        <f t="shared" si="2"/>
        <v>   </v>
      </c>
      <c r="E75" s="49">
        <f t="shared" si="1"/>
        <v>0</v>
      </c>
    </row>
    <row r="76" spans="1:5" ht="12.75">
      <c r="A76" s="47" t="s">
        <v>234</v>
      </c>
      <c r="B76" s="116">
        <v>0</v>
      </c>
      <c r="C76" s="25"/>
      <c r="D76" s="26" t="str">
        <f t="shared" si="2"/>
        <v>   </v>
      </c>
      <c r="E76" s="49">
        <f t="shared" si="1"/>
        <v>0</v>
      </c>
    </row>
    <row r="77" spans="1:5" ht="12.75">
      <c r="A77" s="47" t="s">
        <v>235</v>
      </c>
      <c r="B77" s="116">
        <v>73400</v>
      </c>
      <c r="C77" s="25">
        <v>0</v>
      </c>
      <c r="D77" s="26">
        <f t="shared" si="2"/>
        <v>0</v>
      </c>
      <c r="E77" s="49">
        <f t="shared" si="1"/>
        <v>-73400</v>
      </c>
    </row>
    <row r="78" spans="1:5" ht="25.5">
      <c r="A78" s="118" t="s">
        <v>225</v>
      </c>
      <c r="B78" s="211">
        <f>SUM(B79:B81)</f>
        <v>0</v>
      </c>
      <c r="C78" s="211">
        <f>SUM(C79:C81)</f>
        <v>0</v>
      </c>
      <c r="D78" s="26" t="str">
        <f t="shared" si="2"/>
        <v>   </v>
      </c>
      <c r="E78" s="49">
        <f t="shared" si="1"/>
        <v>0</v>
      </c>
    </row>
    <row r="79" spans="1:5" ht="12.75">
      <c r="A79" s="47" t="s">
        <v>233</v>
      </c>
      <c r="B79" s="116">
        <v>0</v>
      </c>
      <c r="C79" s="25">
        <v>0</v>
      </c>
      <c r="D79" s="26" t="str">
        <f t="shared" si="2"/>
        <v>   </v>
      </c>
      <c r="E79" s="49">
        <f t="shared" si="1"/>
        <v>0</v>
      </c>
    </row>
    <row r="80" spans="1:5" ht="12.75">
      <c r="A80" s="47" t="s">
        <v>234</v>
      </c>
      <c r="C80" s="25"/>
      <c r="D80" s="26" t="str">
        <f t="shared" si="2"/>
        <v>   </v>
      </c>
      <c r="E80" s="49">
        <f t="shared" si="1"/>
        <v>0</v>
      </c>
    </row>
    <row r="81" spans="1:5" ht="12.75">
      <c r="A81" s="47" t="s">
        <v>235</v>
      </c>
      <c r="B81" s="116"/>
      <c r="C81" s="25"/>
      <c r="D81" s="26" t="str">
        <f t="shared" si="2"/>
        <v>   </v>
      </c>
      <c r="E81" s="49">
        <f t="shared" si="1"/>
        <v>0</v>
      </c>
    </row>
    <row r="82" spans="1:5" ht="12.75">
      <c r="A82" s="158" t="s">
        <v>253</v>
      </c>
      <c r="B82" s="198">
        <f>SUM(B83,B86)</f>
        <v>0</v>
      </c>
      <c r="C82" s="198">
        <f>SUM(C83:C86)</f>
        <v>0</v>
      </c>
      <c r="D82" s="26" t="str">
        <f t="shared" si="2"/>
        <v>   </v>
      </c>
      <c r="E82" s="49">
        <f t="shared" si="1"/>
        <v>0</v>
      </c>
    </row>
    <row r="83" spans="1:5" ht="12.75">
      <c r="A83" s="118" t="s">
        <v>226</v>
      </c>
      <c r="B83" s="211">
        <f>SUM(B84:B85)</f>
        <v>0</v>
      </c>
      <c r="C83" s="211">
        <f>SUM(C84:C85)</f>
        <v>0</v>
      </c>
      <c r="D83" s="26" t="str">
        <f t="shared" si="2"/>
        <v>   </v>
      </c>
      <c r="E83" s="49">
        <f t="shared" si="1"/>
        <v>0</v>
      </c>
    </row>
    <row r="84" spans="1:5" ht="18" customHeight="1">
      <c r="A84" s="47" t="s">
        <v>234</v>
      </c>
      <c r="B84" s="116">
        <v>0</v>
      </c>
      <c r="C84" s="27">
        <v>0</v>
      </c>
      <c r="D84" s="26" t="str">
        <f t="shared" si="2"/>
        <v>   </v>
      </c>
      <c r="E84" s="49">
        <f t="shared" si="1"/>
        <v>0</v>
      </c>
    </row>
    <row r="85" spans="1:5" ht="13.5" customHeight="1">
      <c r="A85" s="47" t="s">
        <v>235</v>
      </c>
      <c r="B85" s="116">
        <v>0</v>
      </c>
      <c r="C85" s="27">
        <v>0</v>
      </c>
      <c r="D85" s="26" t="str">
        <f t="shared" si="2"/>
        <v>   </v>
      </c>
      <c r="E85" s="49">
        <f t="shared" si="1"/>
        <v>0</v>
      </c>
    </row>
    <row r="86" spans="1:5" ht="13.5" customHeight="1">
      <c r="A86" s="118" t="s">
        <v>225</v>
      </c>
      <c r="B86" s="211">
        <f>SUM(B87:B88)</f>
        <v>0</v>
      </c>
      <c r="C86" s="211">
        <f>SUM(C87:C88)</f>
        <v>0</v>
      </c>
      <c r="D86" s="26" t="str">
        <f t="shared" si="2"/>
        <v>   </v>
      </c>
      <c r="E86" s="49">
        <f t="shared" si="1"/>
        <v>0</v>
      </c>
    </row>
    <row r="87" spans="1:5" ht="13.5" customHeight="1">
      <c r="A87" s="47" t="s">
        <v>234</v>
      </c>
      <c r="B87" s="241">
        <v>0</v>
      </c>
      <c r="C87" s="27">
        <v>0</v>
      </c>
      <c r="D87" s="26" t="str">
        <f t="shared" si="2"/>
        <v>   </v>
      </c>
      <c r="E87" s="49">
        <f t="shared" si="1"/>
        <v>0</v>
      </c>
    </row>
    <row r="88" spans="1:5" ht="27" customHeight="1">
      <c r="A88" s="47" t="s">
        <v>235</v>
      </c>
      <c r="B88" s="116">
        <v>0</v>
      </c>
      <c r="C88" s="27">
        <v>0</v>
      </c>
      <c r="D88" s="26" t="str">
        <f t="shared" si="2"/>
        <v>   </v>
      </c>
      <c r="E88" s="49">
        <f t="shared" si="1"/>
        <v>0</v>
      </c>
    </row>
    <row r="89" spans="1:5" ht="15.75" customHeight="1">
      <c r="A89" s="158" t="s">
        <v>227</v>
      </c>
      <c r="B89" s="198">
        <f>SUM(B90:B92)</f>
        <v>0</v>
      </c>
      <c r="C89" s="198">
        <f>SUM(C90:C92)</f>
        <v>0</v>
      </c>
      <c r="D89" s="26" t="str">
        <f t="shared" si="2"/>
        <v>   </v>
      </c>
      <c r="E89" s="49">
        <f t="shared" si="1"/>
        <v>0</v>
      </c>
    </row>
    <row r="90" spans="1:5" ht="15" customHeight="1">
      <c r="A90" s="47" t="s">
        <v>233</v>
      </c>
      <c r="B90" s="120">
        <v>0</v>
      </c>
      <c r="C90" s="121">
        <v>0</v>
      </c>
      <c r="D90" s="26" t="str">
        <f t="shared" si="2"/>
        <v>   </v>
      </c>
      <c r="E90" s="49">
        <f t="shared" si="1"/>
        <v>0</v>
      </c>
    </row>
    <row r="91" spans="1:5" ht="15.75" customHeight="1">
      <c r="A91" s="47" t="s">
        <v>234</v>
      </c>
      <c r="B91" s="120">
        <v>0</v>
      </c>
      <c r="C91" s="121">
        <v>0</v>
      </c>
      <c r="D91" s="26" t="str">
        <f t="shared" si="2"/>
        <v>   </v>
      </c>
      <c r="E91" s="49">
        <f t="shared" si="1"/>
        <v>0</v>
      </c>
    </row>
    <row r="92" spans="1:5" ht="12" customHeight="1">
      <c r="A92" s="47" t="s">
        <v>235</v>
      </c>
      <c r="B92" s="120">
        <v>0</v>
      </c>
      <c r="C92" s="121">
        <v>0</v>
      </c>
      <c r="D92" s="26" t="str">
        <f t="shared" si="2"/>
        <v>   </v>
      </c>
      <c r="E92" s="49">
        <f t="shared" si="1"/>
        <v>0</v>
      </c>
    </row>
    <row r="93" spans="1:5" ht="13.5" customHeight="1">
      <c r="A93" s="164" t="s">
        <v>19</v>
      </c>
      <c r="B93" s="168">
        <f>SUM(B38,B45,B47,B49,B54,B60,B61,B69,B71,)</f>
        <v>1977200</v>
      </c>
      <c r="C93" s="168">
        <f>SUM(C38,C45,C47,C49,C54,C60,C61,C69,C71,)</f>
        <v>354591.55</v>
      </c>
      <c r="D93" s="166">
        <f t="shared" si="2"/>
        <v>17.93402538943961</v>
      </c>
      <c r="E93" s="167">
        <f t="shared" si="1"/>
        <v>-1622608.45</v>
      </c>
    </row>
    <row r="94" spans="1:5" ht="13.5" customHeight="1" thickBot="1">
      <c r="A94" s="98" t="s">
        <v>210</v>
      </c>
      <c r="B94" s="212">
        <f>B40+B63</f>
        <v>476900</v>
      </c>
      <c r="C94" s="212">
        <f>C40+C63</f>
        <v>79891.64</v>
      </c>
      <c r="D94" s="99">
        <f t="shared" si="2"/>
        <v>16.752283497588593</v>
      </c>
      <c r="E94" s="100">
        <f t="shared" si="1"/>
        <v>-397008.36</v>
      </c>
    </row>
    <row r="95" spans="1:5" ht="18.75" customHeight="1">
      <c r="A95" s="110" t="s">
        <v>249</v>
      </c>
      <c r="B95" s="110"/>
      <c r="C95" s="250"/>
      <c r="D95" s="250"/>
      <c r="E95" s="250"/>
    </row>
    <row r="96" spans="1:5" ht="18" customHeight="1">
      <c r="A96" s="110" t="s">
        <v>248</v>
      </c>
      <c r="B96" s="110"/>
      <c r="C96" s="111" t="s">
        <v>250</v>
      </c>
      <c r="D96" s="112"/>
      <c r="E96" s="113"/>
    </row>
    <row r="97" spans="1:5" s="76" customFormat="1" ht="23.25" customHeight="1">
      <c r="A97" s="7"/>
      <c r="B97" s="7"/>
      <c r="C97" s="6"/>
      <c r="D97" s="7"/>
      <c r="E97" s="2"/>
    </row>
    <row r="98" spans="1:5" s="76" customFormat="1" ht="12" customHeight="1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</sheetData>
  <mergeCells count="2">
    <mergeCell ref="A1:E1"/>
    <mergeCell ref="C95:E95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65">
      <selection activeCell="B85" sqref="B85"/>
    </sheetView>
  </sheetViews>
  <sheetFormatPr defaultColWidth="9.00390625" defaultRowHeight="12.75"/>
  <cols>
    <col min="1" max="1" width="99.125" style="0" customWidth="1"/>
    <col min="2" max="2" width="17.37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52" t="s">
        <v>306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4.25" customHeight="1">
      <c r="A4" s="35" t="s">
        <v>1</v>
      </c>
      <c r="B4" s="19" t="s">
        <v>282</v>
      </c>
      <c r="C4" s="32" t="s">
        <v>307</v>
      </c>
      <c r="D4" s="19" t="s">
        <v>278</v>
      </c>
      <c r="E4" s="101" t="s">
        <v>283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58</v>
      </c>
      <c r="B7" s="191">
        <f>SUM(B8)</f>
        <v>90600</v>
      </c>
      <c r="C7" s="191">
        <f>SUM(C8)</f>
        <v>16583</v>
      </c>
      <c r="D7" s="26">
        <f aca="true" t="shared" si="0" ref="D7:D72">IF(B7=0,"   ",C7/B7*100)</f>
        <v>18.30353200883002</v>
      </c>
      <c r="E7" s="49">
        <f aca="true" t="shared" si="1" ref="E7:E88">C7-B7</f>
        <v>-74017</v>
      </c>
    </row>
    <row r="8" spans="1:5" ht="12.75" customHeight="1">
      <c r="A8" s="16" t="s">
        <v>57</v>
      </c>
      <c r="B8" s="25">
        <v>90600</v>
      </c>
      <c r="C8" s="27">
        <v>16583</v>
      </c>
      <c r="D8" s="26">
        <f t="shared" si="0"/>
        <v>18.30353200883002</v>
      </c>
      <c r="E8" s="49">
        <f t="shared" si="1"/>
        <v>-74017</v>
      </c>
    </row>
    <row r="9" spans="1:5" ht="16.5" customHeight="1">
      <c r="A9" s="16" t="s">
        <v>7</v>
      </c>
      <c r="B9" s="193">
        <f>SUM(B10:B10)</f>
        <v>24300</v>
      </c>
      <c r="C9" s="193">
        <f>SUM(C10:C10)</f>
        <v>4572.93</v>
      </c>
      <c r="D9" s="26">
        <f t="shared" si="0"/>
        <v>18.81864197530864</v>
      </c>
      <c r="E9" s="49">
        <f t="shared" si="1"/>
        <v>-19727.07</v>
      </c>
    </row>
    <row r="10" spans="1:5" ht="16.5" customHeight="1">
      <c r="A10" s="16" t="s">
        <v>38</v>
      </c>
      <c r="B10" s="25">
        <v>24300</v>
      </c>
      <c r="C10" s="27">
        <v>4572.93</v>
      </c>
      <c r="D10" s="26">
        <f t="shared" si="0"/>
        <v>18.81864197530864</v>
      </c>
      <c r="E10" s="49">
        <f t="shared" si="1"/>
        <v>-19727.07</v>
      </c>
    </row>
    <row r="11" spans="1:5" ht="15.75" customHeight="1">
      <c r="A11" s="16" t="s">
        <v>9</v>
      </c>
      <c r="B11" s="193">
        <f>SUM(B12:B13)</f>
        <v>290200</v>
      </c>
      <c r="C11" s="193">
        <f>SUM(C12:C13)</f>
        <v>45285.62</v>
      </c>
      <c r="D11" s="26">
        <f t="shared" si="0"/>
        <v>15.604968986905583</v>
      </c>
      <c r="E11" s="49">
        <f t="shared" si="1"/>
        <v>-244914.38</v>
      </c>
    </row>
    <row r="12" spans="1:5" ht="15.75" customHeight="1">
      <c r="A12" s="16" t="s">
        <v>39</v>
      </c>
      <c r="B12" s="25">
        <v>40200</v>
      </c>
      <c r="C12" s="27">
        <v>250.58</v>
      </c>
      <c r="D12" s="26">
        <f t="shared" si="0"/>
        <v>0.6233333333333334</v>
      </c>
      <c r="E12" s="49">
        <f t="shared" si="1"/>
        <v>-39949.42</v>
      </c>
    </row>
    <row r="13" spans="1:5" ht="14.25" customHeight="1">
      <c r="A13" s="16" t="s">
        <v>10</v>
      </c>
      <c r="B13" s="25">
        <v>250000</v>
      </c>
      <c r="C13" s="27">
        <v>45035.04</v>
      </c>
      <c r="D13" s="26">
        <f t="shared" si="0"/>
        <v>18.014015999999998</v>
      </c>
      <c r="E13" s="49">
        <f t="shared" si="1"/>
        <v>-204964.96</v>
      </c>
    </row>
    <row r="14" spans="1:5" ht="27.75" customHeight="1">
      <c r="A14" s="16" t="s">
        <v>126</v>
      </c>
      <c r="B14" s="25">
        <v>0</v>
      </c>
      <c r="C14" s="25">
        <v>0</v>
      </c>
      <c r="D14" s="26" t="str">
        <f t="shared" si="0"/>
        <v>   </v>
      </c>
      <c r="E14" s="49">
        <f t="shared" si="1"/>
        <v>0</v>
      </c>
    </row>
    <row r="15" spans="1:5" ht="24.75" customHeight="1">
      <c r="A15" s="16" t="s">
        <v>40</v>
      </c>
      <c r="B15" s="193">
        <f>SUM(B16:B17)</f>
        <v>99100</v>
      </c>
      <c r="C15" s="193">
        <f>SUM(C16:C17)</f>
        <v>26558.24</v>
      </c>
      <c r="D15" s="26">
        <f t="shared" si="0"/>
        <v>26.799434914228055</v>
      </c>
      <c r="E15" s="49">
        <f t="shared" si="1"/>
        <v>-72541.76</v>
      </c>
    </row>
    <row r="16" spans="1:5" ht="13.5" customHeight="1">
      <c r="A16" s="16" t="s">
        <v>41</v>
      </c>
      <c r="B16" s="25">
        <v>19100</v>
      </c>
      <c r="C16" s="27">
        <v>16170.37</v>
      </c>
      <c r="D16" s="26">
        <f t="shared" si="0"/>
        <v>84.66162303664922</v>
      </c>
      <c r="E16" s="49">
        <f t="shared" si="1"/>
        <v>-2929.629999999999</v>
      </c>
    </row>
    <row r="17" spans="1:5" ht="22.5" customHeight="1">
      <c r="A17" s="16" t="s">
        <v>42</v>
      </c>
      <c r="B17" s="25">
        <v>80000</v>
      </c>
      <c r="C17" s="27">
        <v>10387.87</v>
      </c>
      <c r="D17" s="26">
        <f t="shared" si="0"/>
        <v>12.984837500000001</v>
      </c>
      <c r="E17" s="49">
        <f t="shared" si="1"/>
        <v>-69612.13</v>
      </c>
    </row>
    <row r="18" spans="1:5" ht="17.25" customHeight="1">
      <c r="A18" s="42" t="s">
        <v>131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104</v>
      </c>
      <c r="B19" s="193">
        <f>SUM(B20)</f>
        <v>0</v>
      </c>
      <c r="C19" s="193">
        <f>SUM(C20)</f>
        <v>0</v>
      </c>
      <c r="D19" s="26" t="str">
        <f t="shared" si="0"/>
        <v>   </v>
      </c>
      <c r="E19" s="49">
        <f t="shared" si="1"/>
        <v>0</v>
      </c>
    </row>
    <row r="20" spans="1:5" ht="22.5" customHeight="1">
      <c r="A20" s="16" t="s">
        <v>105</v>
      </c>
      <c r="B20" s="25">
        <v>0</v>
      </c>
      <c r="C20" s="33">
        <v>0</v>
      </c>
      <c r="D20" s="26" t="str">
        <f t="shared" si="0"/>
        <v>   </v>
      </c>
      <c r="E20" s="49">
        <f t="shared" si="1"/>
        <v>0</v>
      </c>
    </row>
    <row r="21" spans="1:5" ht="16.5" customHeight="1">
      <c r="A21" s="16" t="s">
        <v>44</v>
      </c>
      <c r="B21" s="193">
        <f>B22+B24</f>
        <v>0</v>
      </c>
      <c r="C21" s="193">
        <f>C22+C23+C24</f>
        <v>0</v>
      </c>
      <c r="D21" s="26" t="str">
        <f t="shared" si="0"/>
        <v>   </v>
      </c>
      <c r="E21" s="49">
        <f t="shared" si="1"/>
        <v>0</v>
      </c>
    </row>
    <row r="22" spans="1:5" ht="13.5" customHeight="1">
      <c r="A22" s="16" t="s">
        <v>66</v>
      </c>
      <c r="B22" s="25">
        <v>0</v>
      </c>
      <c r="C22" s="27">
        <v>0</v>
      </c>
      <c r="D22" s="26" t="str">
        <f t="shared" si="0"/>
        <v>   </v>
      </c>
      <c r="E22" s="49">
        <f t="shared" si="1"/>
        <v>0</v>
      </c>
    </row>
    <row r="23" spans="1:5" ht="13.5" customHeight="1">
      <c r="A23" s="16" t="s">
        <v>167</v>
      </c>
      <c r="B23" s="25"/>
      <c r="C23" s="27">
        <v>0</v>
      </c>
      <c r="D23" s="26"/>
      <c r="E23" s="49"/>
    </row>
    <row r="24" spans="1:5" ht="12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49">
        <f t="shared" si="1"/>
        <v>0</v>
      </c>
    </row>
    <row r="25" spans="1:5" ht="21" customHeight="1">
      <c r="A25" s="164" t="s">
        <v>11</v>
      </c>
      <c r="B25" s="142">
        <f>SUM(B7,B9,B11,B15,B18,B19,B21)</f>
        <v>504200</v>
      </c>
      <c r="C25" s="142">
        <f>SUM(C7,C9,C11,C14,C15,C19,C21,C18)</f>
        <v>92999.79000000001</v>
      </c>
      <c r="D25" s="166">
        <f t="shared" si="0"/>
        <v>18.445019833399446</v>
      </c>
      <c r="E25" s="167">
        <f t="shared" si="1"/>
        <v>-411200.20999999996</v>
      </c>
    </row>
    <row r="26" spans="1:5" ht="18" customHeight="1">
      <c r="A26" s="17" t="s">
        <v>46</v>
      </c>
      <c r="B26" s="24">
        <v>1412700</v>
      </c>
      <c r="C26" s="24">
        <v>334100</v>
      </c>
      <c r="D26" s="26">
        <f t="shared" si="0"/>
        <v>23.64974870814752</v>
      </c>
      <c r="E26" s="49">
        <f t="shared" si="1"/>
        <v>-1078600</v>
      </c>
    </row>
    <row r="27" spans="1:5" ht="16.5" customHeight="1">
      <c r="A27" s="16" t="s">
        <v>63</v>
      </c>
      <c r="B27" s="25">
        <v>205300</v>
      </c>
      <c r="C27" s="27">
        <v>0</v>
      </c>
      <c r="D27" s="26">
        <f t="shared" si="0"/>
        <v>0</v>
      </c>
      <c r="E27" s="49">
        <f t="shared" si="1"/>
        <v>-205300</v>
      </c>
    </row>
    <row r="28" spans="1:5" ht="30.75" customHeight="1">
      <c r="A28" s="200" t="s">
        <v>67</v>
      </c>
      <c r="B28" s="201">
        <v>50800</v>
      </c>
      <c r="C28" s="205">
        <v>50300</v>
      </c>
      <c r="D28" s="202">
        <f t="shared" si="0"/>
        <v>99.01574803149606</v>
      </c>
      <c r="E28" s="203">
        <f t="shared" si="1"/>
        <v>-500</v>
      </c>
    </row>
    <row r="29" spans="1:5" ht="27" customHeight="1">
      <c r="A29" s="204" t="s">
        <v>140</v>
      </c>
      <c r="B29" s="201">
        <v>100</v>
      </c>
      <c r="C29" s="201">
        <v>0</v>
      </c>
      <c r="D29" s="202">
        <f t="shared" si="0"/>
        <v>0</v>
      </c>
      <c r="E29" s="203">
        <f t="shared" si="1"/>
        <v>-100</v>
      </c>
    </row>
    <row r="30" spans="1:5" ht="28.5" customHeight="1">
      <c r="A30" s="16" t="s">
        <v>170</v>
      </c>
      <c r="B30" s="25">
        <v>0</v>
      </c>
      <c r="C30" s="27">
        <v>0</v>
      </c>
      <c r="D30" s="26" t="str">
        <f t="shared" si="0"/>
        <v>   </v>
      </c>
      <c r="E30" s="49">
        <f>C30-B30</f>
        <v>0</v>
      </c>
    </row>
    <row r="31" spans="1:5" ht="28.5" customHeight="1">
      <c r="A31" s="16" t="s">
        <v>115</v>
      </c>
      <c r="B31" s="25">
        <v>0</v>
      </c>
      <c r="C31" s="27">
        <v>0</v>
      </c>
      <c r="D31" s="26" t="str">
        <f t="shared" si="0"/>
        <v>   </v>
      </c>
      <c r="E31" s="49">
        <f>C31-B31</f>
        <v>0</v>
      </c>
    </row>
    <row r="32" spans="1:5" ht="28.5" customHeight="1">
      <c r="A32" s="16" t="s">
        <v>258</v>
      </c>
      <c r="B32" s="25">
        <v>0</v>
      </c>
      <c r="C32" s="27">
        <v>0</v>
      </c>
      <c r="D32" s="26" t="str">
        <f t="shared" si="0"/>
        <v>   </v>
      </c>
      <c r="E32" s="49">
        <f>C32-B32</f>
        <v>0</v>
      </c>
    </row>
    <row r="33" spans="1:5" ht="40.5" customHeight="1">
      <c r="A33" s="16" t="s">
        <v>108</v>
      </c>
      <c r="B33" s="25">
        <v>777900</v>
      </c>
      <c r="C33" s="25">
        <v>0</v>
      </c>
      <c r="D33" s="26">
        <f t="shared" si="0"/>
        <v>0</v>
      </c>
      <c r="E33" s="49">
        <f t="shared" si="1"/>
        <v>-777900</v>
      </c>
    </row>
    <row r="34" spans="1:5" ht="24.75" customHeight="1">
      <c r="A34" s="200" t="s">
        <v>149</v>
      </c>
      <c r="B34" s="201">
        <v>3300</v>
      </c>
      <c r="C34" s="201">
        <v>0</v>
      </c>
      <c r="D34" s="202">
        <f t="shared" si="0"/>
        <v>0</v>
      </c>
      <c r="E34" s="203">
        <f t="shared" si="1"/>
        <v>-3300</v>
      </c>
    </row>
    <row r="35" spans="1:5" ht="15" customHeight="1">
      <c r="A35" s="16" t="s">
        <v>107</v>
      </c>
      <c r="B35" s="194">
        <f>B36</f>
        <v>271300</v>
      </c>
      <c r="C35" s="194">
        <f>C36</f>
        <v>0</v>
      </c>
      <c r="D35" s="26">
        <f t="shared" si="0"/>
        <v>0</v>
      </c>
      <c r="E35" s="49">
        <f t="shared" si="1"/>
        <v>-271300</v>
      </c>
    </row>
    <row r="36" spans="1:5" s="7" customFormat="1" ht="14.25" customHeight="1">
      <c r="A36" s="63" t="s">
        <v>180</v>
      </c>
      <c r="B36" s="64">
        <v>271300</v>
      </c>
      <c r="C36" s="64">
        <v>0</v>
      </c>
      <c r="D36" s="64">
        <f t="shared" si="0"/>
        <v>0</v>
      </c>
      <c r="E36" s="43">
        <f t="shared" si="1"/>
        <v>-271300</v>
      </c>
    </row>
    <row r="37" spans="1:5" ht="24.75" customHeight="1">
      <c r="A37" s="164" t="s">
        <v>14</v>
      </c>
      <c r="B37" s="168">
        <f>SUM(B25,B26,B27:B35,)</f>
        <v>3225600</v>
      </c>
      <c r="C37" s="168">
        <f>SUM(C25,C26,C27:C35)</f>
        <v>477399.79000000004</v>
      </c>
      <c r="D37" s="166">
        <f t="shared" si="0"/>
        <v>14.800340711805557</v>
      </c>
      <c r="E37" s="167">
        <f t="shared" si="1"/>
        <v>-2748200.21</v>
      </c>
    </row>
    <row r="38" spans="1:5" ht="12.75" customHeight="1">
      <c r="A38" s="22" t="s">
        <v>15</v>
      </c>
      <c r="B38" s="51"/>
      <c r="C38" s="52"/>
      <c r="D38" s="26" t="str">
        <f t="shared" si="0"/>
        <v>   </v>
      </c>
      <c r="E38" s="49">
        <f t="shared" si="1"/>
        <v>0</v>
      </c>
    </row>
    <row r="39" spans="1:5" ht="15" customHeight="1">
      <c r="A39" s="16" t="s">
        <v>48</v>
      </c>
      <c r="B39" s="25">
        <v>755700</v>
      </c>
      <c r="C39" s="25">
        <v>109675.07</v>
      </c>
      <c r="D39" s="26">
        <f t="shared" si="0"/>
        <v>14.513043535794628</v>
      </c>
      <c r="E39" s="49">
        <f t="shared" si="1"/>
        <v>-646024.9299999999</v>
      </c>
    </row>
    <row r="40" spans="1:5" ht="15" customHeight="1">
      <c r="A40" s="16" t="s">
        <v>49</v>
      </c>
      <c r="B40" s="25">
        <v>755200</v>
      </c>
      <c r="C40" s="25">
        <v>109675.07</v>
      </c>
      <c r="D40" s="26">
        <f t="shared" si="0"/>
        <v>14.522652277542376</v>
      </c>
      <c r="E40" s="49">
        <f t="shared" si="1"/>
        <v>-645524.9299999999</v>
      </c>
    </row>
    <row r="41" spans="1:5" ht="15" customHeight="1">
      <c r="A41" s="118" t="s">
        <v>207</v>
      </c>
      <c r="B41" s="25">
        <v>476900</v>
      </c>
      <c r="C41" s="28">
        <v>94907.52</v>
      </c>
      <c r="D41" s="26">
        <f t="shared" si="0"/>
        <v>19.900926819039633</v>
      </c>
      <c r="E41" s="49">
        <f t="shared" si="1"/>
        <v>-381992.48</v>
      </c>
    </row>
    <row r="42" spans="1:5" ht="12.75">
      <c r="A42" s="16" t="s">
        <v>181</v>
      </c>
      <c r="B42" s="25">
        <v>100</v>
      </c>
      <c r="C42" s="28">
        <v>0</v>
      </c>
      <c r="D42" s="26">
        <f t="shared" si="0"/>
        <v>0</v>
      </c>
      <c r="E42" s="49">
        <f t="shared" si="1"/>
        <v>-100</v>
      </c>
    </row>
    <row r="43" spans="1:5" ht="12.75" customHeight="1">
      <c r="A43" s="16" t="s">
        <v>141</v>
      </c>
      <c r="B43" s="25">
        <v>500</v>
      </c>
      <c r="C43" s="27">
        <v>0</v>
      </c>
      <c r="D43" s="26">
        <f t="shared" si="0"/>
        <v>0</v>
      </c>
      <c r="E43" s="49">
        <f t="shared" si="1"/>
        <v>-500</v>
      </c>
    </row>
    <row r="44" spans="1:5" ht="15.75" customHeight="1">
      <c r="A44" s="16" t="s">
        <v>65</v>
      </c>
      <c r="B44" s="194">
        <f>SUM(B45)</f>
        <v>50800</v>
      </c>
      <c r="C44" s="194">
        <f>SUM(C45)</f>
        <v>12100.69</v>
      </c>
      <c r="D44" s="26">
        <f t="shared" si="0"/>
        <v>23.82025590551181</v>
      </c>
      <c r="E44" s="49">
        <f t="shared" si="1"/>
        <v>-38699.31</v>
      </c>
    </row>
    <row r="45" spans="1:5" ht="13.5" customHeight="1">
      <c r="A45" s="42" t="s">
        <v>176</v>
      </c>
      <c r="B45" s="25">
        <v>50800</v>
      </c>
      <c r="C45" s="27">
        <v>12100.69</v>
      </c>
      <c r="D45" s="26">
        <f t="shared" si="0"/>
        <v>23.82025590551181</v>
      </c>
      <c r="E45" s="49">
        <f t="shared" si="1"/>
        <v>-38699.31</v>
      </c>
    </row>
    <row r="46" spans="1:5" ht="18" customHeight="1">
      <c r="A46" s="16" t="s">
        <v>50</v>
      </c>
      <c r="B46" s="193">
        <f>SUM(B47)</f>
        <v>500</v>
      </c>
      <c r="C46" s="194">
        <f>SUM(C47)</f>
        <v>0</v>
      </c>
      <c r="D46" s="26">
        <f t="shared" si="0"/>
        <v>0</v>
      </c>
      <c r="E46" s="49">
        <f t="shared" si="1"/>
        <v>-500</v>
      </c>
    </row>
    <row r="47" spans="1:5" ht="26.25" customHeight="1">
      <c r="A47" s="47" t="s">
        <v>129</v>
      </c>
      <c r="B47" s="25">
        <v>500</v>
      </c>
      <c r="C47" s="27">
        <v>0</v>
      </c>
      <c r="D47" s="26">
        <f t="shared" si="0"/>
        <v>0</v>
      </c>
      <c r="E47" s="49">
        <f t="shared" si="1"/>
        <v>-500</v>
      </c>
    </row>
    <row r="48" spans="1:5" ht="12.75" customHeight="1">
      <c r="A48" s="16" t="s">
        <v>51</v>
      </c>
      <c r="B48" s="193">
        <f>SUM(B49:B49)</f>
        <v>371300</v>
      </c>
      <c r="C48" s="193">
        <f>SUM(C49:C49)</f>
        <v>0</v>
      </c>
      <c r="D48" s="26">
        <f t="shared" si="0"/>
        <v>0</v>
      </c>
      <c r="E48" s="49">
        <f t="shared" si="1"/>
        <v>-371300</v>
      </c>
    </row>
    <row r="49" spans="1:5" ht="13.5" customHeight="1">
      <c r="A49" s="16" t="s">
        <v>52</v>
      </c>
      <c r="B49" s="25">
        <f>B50+B51+B52</f>
        <v>371300</v>
      </c>
      <c r="C49" s="25">
        <f>C50+C51+C52</f>
        <v>0</v>
      </c>
      <c r="D49" s="26">
        <f t="shared" si="0"/>
        <v>0</v>
      </c>
      <c r="E49" s="49">
        <f t="shared" si="1"/>
        <v>-371300</v>
      </c>
    </row>
    <row r="50" spans="1:5" ht="13.5" customHeight="1">
      <c r="A50" s="154" t="s">
        <v>324</v>
      </c>
      <c r="B50" s="25">
        <v>193300</v>
      </c>
      <c r="C50" s="25">
        <v>0</v>
      </c>
      <c r="D50" s="26"/>
      <c r="E50" s="49"/>
    </row>
    <row r="51" spans="1:5" ht="24" customHeight="1">
      <c r="A51" s="91" t="s">
        <v>286</v>
      </c>
      <c r="B51" s="25">
        <v>78000</v>
      </c>
      <c r="C51" s="25">
        <v>0</v>
      </c>
      <c r="D51" s="26"/>
      <c r="E51" s="49"/>
    </row>
    <row r="52" spans="1:5" ht="26.25" customHeight="1">
      <c r="A52" s="91" t="s">
        <v>287</v>
      </c>
      <c r="B52" s="25">
        <v>100000</v>
      </c>
      <c r="C52" s="25">
        <v>0</v>
      </c>
      <c r="D52" s="26"/>
      <c r="E52" s="49"/>
    </row>
    <row r="53" spans="1:5" ht="15" customHeight="1">
      <c r="A53" s="16" t="s">
        <v>16</v>
      </c>
      <c r="B53" s="193">
        <f>B54</f>
        <v>130000</v>
      </c>
      <c r="C53" s="193">
        <f>C54</f>
        <v>12596.02</v>
      </c>
      <c r="D53" s="26">
        <f t="shared" si="0"/>
        <v>9.689246153846154</v>
      </c>
      <c r="E53" s="49">
        <f t="shared" si="1"/>
        <v>-117403.98</v>
      </c>
    </row>
    <row r="54" spans="1:5" ht="12.75" customHeight="1">
      <c r="A54" s="16" t="s">
        <v>145</v>
      </c>
      <c r="B54" s="25">
        <v>130000</v>
      </c>
      <c r="C54" s="25">
        <v>12596.02</v>
      </c>
      <c r="D54" s="26">
        <f t="shared" si="0"/>
        <v>9.689246153846154</v>
      </c>
      <c r="E54" s="49">
        <f t="shared" si="1"/>
        <v>-117403.98</v>
      </c>
    </row>
    <row r="55" spans="1:5" ht="12.75" customHeight="1">
      <c r="A55" s="16" t="s">
        <v>146</v>
      </c>
      <c r="B55" s="25">
        <v>130000</v>
      </c>
      <c r="C55" s="27">
        <v>12596.02</v>
      </c>
      <c r="D55" s="26">
        <f t="shared" si="0"/>
        <v>9.689246153846154</v>
      </c>
      <c r="E55" s="49">
        <f t="shared" si="1"/>
        <v>-117403.98</v>
      </c>
    </row>
    <row r="56" spans="1:5" ht="12.75" customHeight="1">
      <c r="A56" s="16" t="s">
        <v>82</v>
      </c>
      <c r="B56" s="25">
        <v>0</v>
      </c>
      <c r="C56" s="27">
        <v>0</v>
      </c>
      <c r="D56" s="26" t="str">
        <f t="shared" si="0"/>
        <v>   </v>
      </c>
      <c r="E56" s="49">
        <f t="shared" si="1"/>
        <v>0</v>
      </c>
    </row>
    <row r="57" spans="1:5" ht="15" customHeight="1">
      <c r="A57" s="36" t="s">
        <v>24</v>
      </c>
      <c r="B57" s="31">
        <v>10000</v>
      </c>
      <c r="C57" s="31">
        <v>0</v>
      </c>
      <c r="D57" s="26">
        <f t="shared" si="0"/>
        <v>0</v>
      </c>
      <c r="E57" s="49">
        <f t="shared" si="1"/>
        <v>-10000</v>
      </c>
    </row>
    <row r="58" spans="1:5" ht="15.75" customHeight="1">
      <c r="A58" s="16" t="s">
        <v>54</v>
      </c>
      <c r="B58" s="191">
        <f>B59</f>
        <v>1039600</v>
      </c>
      <c r="C58" s="191">
        <f>C59</f>
        <v>199000</v>
      </c>
      <c r="D58" s="26">
        <f t="shared" si="0"/>
        <v>19.14197768372451</v>
      </c>
      <c r="E58" s="49">
        <f t="shared" si="1"/>
        <v>-840600</v>
      </c>
    </row>
    <row r="59" spans="1:5" ht="12.75" customHeight="1">
      <c r="A59" s="16" t="s">
        <v>55</v>
      </c>
      <c r="B59" s="25">
        <v>1039600</v>
      </c>
      <c r="C59" s="27">
        <v>199000</v>
      </c>
      <c r="D59" s="26">
        <f t="shared" si="0"/>
        <v>19.14197768372451</v>
      </c>
      <c r="E59" s="49">
        <f t="shared" si="1"/>
        <v>-840600</v>
      </c>
    </row>
    <row r="60" spans="1:5" ht="14.25" customHeight="1">
      <c r="A60" s="118" t="s">
        <v>207</v>
      </c>
      <c r="B60" s="25">
        <v>0</v>
      </c>
      <c r="C60" s="27">
        <v>0</v>
      </c>
      <c r="D60" s="26" t="str">
        <f t="shared" si="0"/>
        <v>   </v>
      </c>
      <c r="E60" s="49">
        <f t="shared" si="1"/>
        <v>0</v>
      </c>
    </row>
    <row r="61" spans="1:5" ht="13.5" customHeight="1">
      <c r="A61" s="16" t="s">
        <v>177</v>
      </c>
      <c r="B61" s="25">
        <v>3300</v>
      </c>
      <c r="C61" s="27">
        <v>0</v>
      </c>
      <c r="D61" s="26">
        <f t="shared" si="0"/>
        <v>0</v>
      </c>
      <c r="E61" s="49">
        <f t="shared" si="1"/>
        <v>-3300</v>
      </c>
    </row>
    <row r="62" spans="1:5" ht="13.5" customHeight="1">
      <c r="A62" s="16" t="s">
        <v>214</v>
      </c>
      <c r="B62" s="193">
        <f>SUM(B63,)</f>
        <v>15000</v>
      </c>
      <c r="C62" s="193">
        <f>SUM(C63,)</f>
        <v>0</v>
      </c>
      <c r="D62" s="26">
        <f t="shared" si="0"/>
        <v>0</v>
      </c>
      <c r="E62" s="49">
        <f t="shared" si="1"/>
        <v>-15000</v>
      </c>
    </row>
    <row r="63" spans="1:5" ht="13.5" customHeight="1">
      <c r="A63" s="16" t="s">
        <v>56</v>
      </c>
      <c r="B63" s="25">
        <v>15000</v>
      </c>
      <c r="C63" s="28">
        <v>0</v>
      </c>
      <c r="D63" s="26">
        <f t="shared" si="0"/>
        <v>0</v>
      </c>
      <c r="E63" s="49">
        <f t="shared" si="1"/>
        <v>-15000</v>
      </c>
    </row>
    <row r="64" spans="1:5" ht="14.25" customHeight="1">
      <c r="A64" s="16" t="s">
        <v>18</v>
      </c>
      <c r="B64" s="193">
        <f>SUM(B65)</f>
        <v>867200</v>
      </c>
      <c r="C64" s="193">
        <f>SUM(C65)</f>
        <v>0</v>
      </c>
      <c r="D64" s="26">
        <f t="shared" si="0"/>
        <v>0</v>
      </c>
      <c r="E64" s="49">
        <f t="shared" si="1"/>
        <v>-867200</v>
      </c>
    </row>
    <row r="65" spans="1:5" ht="14.25" customHeight="1">
      <c r="A65" s="16" t="s">
        <v>223</v>
      </c>
      <c r="B65" s="193">
        <f>SUM(B66,B75,B82,B86)</f>
        <v>867200</v>
      </c>
      <c r="C65" s="193">
        <f>SUM(C66,C75,C82,C86)</f>
        <v>0</v>
      </c>
      <c r="D65" s="26">
        <f t="shared" si="0"/>
        <v>0</v>
      </c>
      <c r="E65" s="49">
        <f t="shared" si="1"/>
        <v>-867200</v>
      </c>
    </row>
    <row r="66" spans="1:5" ht="14.25" customHeight="1">
      <c r="A66" s="119" t="s">
        <v>252</v>
      </c>
      <c r="B66" s="198">
        <f>SUM(B67,B71)</f>
        <v>89300</v>
      </c>
      <c r="C66" s="198">
        <f>C67+C71</f>
        <v>0</v>
      </c>
      <c r="D66" s="26">
        <f t="shared" si="0"/>
        <v>0</v>
      </c>
      <c r="E66" s="49">
        <f t="shared" si="1"/>
        <v>-89300</v>
      </c>
    </row>
    <row r="67" spans="1:5" ht="13.5" customHeight="1">
      <c r="A67" s="16" t="s">
        <v>226</v>
      </c>
      <c r="B67" s="193">
        <f>SUM(B68:B70)</f>
        <v>89300</v>
      </c>
      <c r="C67" s="194">
        <f>C68+C69+C70</f>
        <v>0</v>
      </c>
      <c r="D67" s="26">
        <f t="shared" si="0"/>
        <v>0</v>
      </c>
      <c r="E67" s="49">
        <f t="shared" si="1"/>
        <v>-89300</v>
      </c>
    </row>
    <row r="68" spans="1:5" ht="13.5" customHeight="1">
      <c r="A68" s="47" t="s">
        <v>233</v>
      </c>
      <c r="B68" s="25">
        <v>0</v>
      </c>
      <c r="C68" s="27"/>
      <c r="D68" s="26" t="str">
        <f t="shared" si="0"/>
        <v>   </v>
      </c>
      <c r="E68" s="49">
        <f t="shared" si="1"/>
        <v>0</v>
      </c>
    </row>
    <row r="69" spans="1:5" ht="13.5" customHeight="1">
      <c r="A69" s="47" t="s">
        <v>234</v>
      </c>
      <c r="B69" s="25">
        <v>0</v>
      </c>
      <c r="C69" s="27"/>
      <c r="D69" s="26" t="str">
        <f t="shared" si="0"/>
        <v>   </v>
      </c>
      <c r="E69" s="49">
        <f t="shared" si="1"/>
        <v>0</v>
      </c>
    </row>
    <row r="70" spans="1:5" ht="13.5" customHeight="1">
      <c r="A70" s="47" t="s">
        <v>235</v>
      </c>
      <c r="B70" s="25">
        <v>89300</v>
      </c>
      <c r="C70" s="27">
        <v>0</v>
      </c>
      <c r="D70" s="26">
        <f t="shared" si="0"/>
        <v>0</v>
      </c>
      <c r="E70" s="49">
        <f t="shared" si="1"/>
        <v>-89300</v>
      </c>
    </row>
    <row r="71" spans="1:5" ht="24.75" customHeight="1">
      <c r="A71" s="16" t="s">
        <v>225</v>
      </c>
      <c r="B71" s="193">
        <f>SUM(B72:B74)</f>
        <v>0</v>
      </c>
      <c r="C71" s="194">
        <f>C72+C73+C74</f>
        <v>0</v>
      </c>
      <c r="D71" s="26" t="str">
        <f t="shared" si="0"/>
        <v>   </v>
      </c>
      <c r="E71" s="49">
        <f t="shared" si="1"/>
        <v>0</v>
      </c>
    </row>
    <row r="72" spans="1:5" ht="24.75" customHeight="1">
      <c r="A72" s="47" t="s">
        <v>233</v>
      </c>
      <c r="B72" s="25">
        <v>0</v>
      </c>
      <c r="C72" s="27">
        <v>0</v>
      </c>
      <c r="D72" s="26" t="str">
        <f t="shared" si="0"/>
        <v>   </v>
      </c>
      <c r="E72" s="49">
        <f t="shared" si="1"/>
        <v>0</v>
      </c>
    </row>
    <row r="73" spans="1:5" ht="24.75" customHeight="1">
      <c r="A73" s="47" t="s">
        <v>234</v>
      </c>
      <c r="B73" s="179">
        <v>0</v>
      </c>
      <c r="C73" s="27">
        <v>0</v>
      </c>
      <c r="D73" s="26" t="str">
        <f aca="true" t="shared" si="2" ref="D73:D88">IF(B73=0,"   ",C73/B73*100)</f>
        <v>   </v>
      </c>
      <c r="E73" s="49">
        <f t="shared" si="1"/>
        <v>0</v>
      </c>
    </row>
    <row r="74" spans="1:5" ht="24.75" customHeight="1">
      <c r="A74" s="47" t="s">
        <v>235</v>
      </c>
      <c r="B74" s="25">
        <v>0</v>
      </c>
      <c r="C74" s="27">
        <v>0</v>
      </c>
      <c r="D74" s="26" t="str">
        <f t="shared" si="2"/>
        <v>   </v>
      </c>
      <c r="E74" s="49">
        <f t="shared" si="1"/>
        <v>0</v>
      </c>
    </row>
    <row r="75" spans="1:5" ht="13.5" customHeight="1">
      <c r="A75" s="119" t="s">
        <v>253</v>
      </c>
      <c r="B75" s="198">
        <f>SUM(B76,B79)</f>
        <v>0</v>
      </c>
      <c r="C75" s="198">
        <f>SUM(C76:C79)</f>
        <v>0</v>
      </c>
      <c r="D75" s="26" t="str">
        <f t="shared" si="2"/>
        <v>   </v>
      </c>
      <c r="E75" s="49">
        <f t="shared" si="1"/>
        <v>0</v>
      </c>
    </row>
    <row r="76" spans="1:5" ht="15.75" customHeight="1">
      <c r="A76" s="16" t="s">
        <v>226</v>
      </c>
      <c r="B76" s="193">
        <f>SUM(B77:B78)</f>
        <v>0</v>
      </c>
      <c r="C76" s="194"/>
      <c r="D76" s="26" t="str">
        <f t="shared" si="2"/>
        <v>   </v>
      </c>
      <c r="E76" s="49">
        <f t="shared" si="1"/>
        <v>0</v>
      </c>
    </row>
    <row r="77" spans="1:5" ht="15.75" customHeight="1">
      <c r="A77" s="47" t="s">
        <v>234</v>
      </c>
      <c r="B77" s="25">
        <v>0</v>
      </c>
      <c r="C77" s="27"/>
      <c r="D77" s="26" t="str">
        <f t="shared" si="2"/>
        <v>   </v>
      </c>
      <c r="E77" s="49">
        <f t="shared" si="1"/>
        <v>0</v>
      </c>
    </row>
    <row r="78" spans="1:5" ht="15.75" customHeight="1">
      <c r="A78" s="47" t="s">
        <v>235</v>
      </c>
      <c r="B78" s="25"/>
      <c r="C78" s="27"/>
      <c r="D78" s="26" t="str">
        <f t="shared" si="2"/>
        <v>   </v>
      </c>
      <c r="E78" s="49">
        <f t="shared" si="1"/>
        <v>0</v>
      </c>
    </row>
    <row r="79" spans="1:5" ht="24.75" customHeight="1">
      <c r="A79" s="16" t="s">
        <v>225</v>
      </c>
      <c r="B79" s="193">
        <f>SUM(B80:B81)</f>
        <v>0</v>
      </c>
      <c r="C79" s="194">
        <f>SUM(C80:C81)</f>
        <v>0</v>
      </c>
      <c r="D79" s="26" t="str">
        <f t="shared" si="2"/>
        <v>   </v>
      </c>
      <c r="E79" s="49">
        <f t="shared" si="1"/>
        <v>0</v>
      </c>
    </row>
    <row r="80" spans="1:5" ht="24.75" customHeight="1">
      <c r="A80" s="47" t="s">
        <v>234</v>
      </c>
      <c r="B80" s="25">
        <v>0</v>
      </c>
      <c r="C80" s="27">
        <v>0</v>
      </c>
      <c r="D80" s="26" t="str">
        <f t="shared" si="2"/>
        <v>   </v>
      </c>
      <c r="E80" s="49">
        <f t="shared" si="1"/>
        <v>0</v>
      </c>
    </row>
    <row r="81" spans="1:5" ht="24.75" customHeight="1">
      <c r="A81" s="47" t="s">
        <v>235</v>
      </c>
      <c r="B81" s="25"/>
      <c r="C81" s="27"/>
      <c r="D81" s="26" t="str">
        <f t="shared" si="2"/>
        <v>   </v>
      </c>
      <c r="E81" s="49">
        <f t="shared" si="1"/>
        <v>0</v>
      </c>
    </row>
    <row r="82" spans="1:5" ht="13.5" customHeight="1">
      <c r="A82" s="119" t="s">
        <v>227</v>
      </c>
      <c r="B82" s="198">
        <f>SUM(B83:B85)</f>
        <v>0</v>
      </c>
      <c r="C82" s="216">
        <f>C83+C84+C85</f>
        <v>0</v>
      </c>
      <c r="D82" s="26" t="str">
        <f t="shared" si="2"/>
        <v>   </v>
      </c>
      <c r="E82" s="49">
        <f t="shared" si="1"/>
        <v>0</v>
      </c>
    </row>
    <row r="83" spans="1:5" ht="13.5" customHeight="1">
      <c r="A83" s="47" t="s">
        <v>233</v>
      </c>
      <c r="B83" s="120">
        <v>0</v>
      </c>
      <c r="C83" s="121">
        <v>0</v>
      </c>
      <c r="D83" s="26" t="str">
        <f t="shared" si="2"/>
        <v>   </v>
      </c>
      <c r="E83" s="49">
        <f t="shared" si="1"/>
        <v>0</v>
      </c>
    </row>
    <row r="84" spans="1:5" ht="13.5" customHeight="1">
      <c r="A84" s="47" t="s">
        <v>234</v>
      </c>
      <c r="B84" s="120">
        <v>0</v>
      </c>
      <c r="C84" s="121">
        <v>0</v>
      </c>
      <c r="D84" s="26" t="str">
        <f t="shared" si="2"/>
        <v>   </v>
      </c>
      <c r="E84" s="49">
        <f t="shared" si="1"/>
        <v>0</v>
      </c>
    </row>
    <row r="85" spans="1:5" ht="13.5" customHeight="1">
      <c r="A85" s="47" t="s">
        <v>235</v>
      </c>
      <c r="B85" s="120">
        <v>0</v>
      </c>
      <c r="C85" s="121"/>
      <c r="D85" s="26" t="str">
        <f t="shared" si="2"/>
        <v>   </v>
      </c>
      <c r="E85" s="49">
        <f t="shared" si="1"/>
        <v>0</v>
      </c>
    </row>
    <row r="86" spans="1:5" ht="41.25" customHeight="1">
      <c r="A86" s="47" t="s">
        <v>251</v>
      </c>
      <c r="B86" s="120">
        <v>777900</v>
      </c>
      <c r="C86" s="121">
        <v>0</v>
      </c>
      <c r="D86" s="26"/>
      <c r="E86" s="49"/>
    </row>
    <row r="87" spans="1:5" ht="24.75" customHeight="1">
      <c r="A87" s="164" t="s">
        <v>19</v>
      </c>
      <c r="B87" s="168">
        <f>SUM(B39,B44,B46,B48,B53,B57,B58,B62,B64,)</f>
        <v>3240100</v>
      </c>
      <c r="C87" s="168">
        <f>SUM(C39,C44,C46,C48,C53,C57,C58,C62,C64,)</f>
        <v>333371.78</v>
      </c>
      <c r="D87" s="166">
        <f t="shared" si="2"/>
        <v>10.288934909416376</v>
      </c>
      <c r="E87" s="167">
        <f t="shared" si="1"/>
        <v>-2906728.2199999997</v>
      </c>
    </row>
    <row r="88" spans="1:5" ht="13.5" customHeight="1" thickBot="1">
      <c r="A88" s="98" t="s">
        <v>210</v>
      </c>
      <c r="B88" s="212">
        <f>B41+B60</f>
        <v>476900</v>
      </c>
      <c r="C88" s="212">
        <f>C41+C60</f>
        <v>94907.52</v>
      </c>
      <c r="D88" s="99">
        <f t="shared" si="2"/>
        <v>19.900926819039633</v>
      </c>
      <c r="E88" s="100">
        <f t="shared" si="1"/>
        <v>-381992.48</v>
      </c>
    </row>
    <row r="89" spans="1:5" s="76" customFormat="1" ht="23.25" customHeight="1">
      <c r="A89" s="110" t="s">
        <v>249</v>
      </c>
      <c r="B89" s="110"/>
      <c r="C89" s="250"/>
      <c r="D89" s="250"/>
      <c r="E89" s="250"/>
    </row>
    <row r="90" spans="1:5" s="76" customFormat="1" ht="12" customHeight="1">
      <c r="A90" s="110" t="s">
        <v>248</v>
      </c>
      <c r="B90" s="110"/>
      <c r="C90" s="111" t="s">
        <v>250</v>
      </c>
      <c r="D90" s="112"/>
      <c r="E90" s="113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</sheetData>
  <mergeCells count="2">
    <mergeCell ref="A1:E1"/>
    <mergeCell ref="C89:E89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55">
      <selection activeCell="B80" sqref="B80"/>
    </sheetView>
  </sheetViews>
  <sheetFormatPr defaultColWidth="9.00390625" defaultRowHeight="12.75"/>
  <cols>
    <col min="1" max="1" width="95.625" style="0" customWidth="1"/>
    <col min="2" max="2" width="15.875" style="0" customWidth="1"/>
    <col min="3" max="3" width="16.875" style="0" customWidth="1"/>
    <col min="4" max="4" width="17.25390625" style="0" customWidth="1"/>
    <col min="5" max="5" width="16.25390625" style="0" customWidth="1"/>
  </cols>
  <sheetData>
    <row r="1" spans="1:5" ht="18">
      <c r="A1" s="252" t="s">
        <v>308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1.25" customHeight="1">
      <c r="A4" s="35" t="s">
        <v>1</v>
      </c>
      <c r="B4" s="19" t="s">
        <v>282</v>
      </c>
      <c r="C4" s="32" t="s">
        <v>307</v>
      </c>
      <c r="D4" s="19" t="s">
        <v>288</v>
      </c>
      <c r="E4" s="19" t="s">
        <v>289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172300</v>
      </c>
      <c r="C7" s="191">
        <f>SUM(C8)</f>
        <v>18397.92</v>
      </c>
      <c r="D7" s="26">
        <f aca="true" t="shared" si="0" ref="D7:D68">IF(B7=0,"   ",C7/B7*100)</f>
        <v>10.677840975043527</v>
      </c>
      <c r="E7" s="49">
        <f aca="true" t="shared" si="1" ref="E7:E82">C7-B7</f>
        <v>-153902.08000000002</v>
      </c>
    </row>
    <row r="8" spans="1:5" ht="12.75">
      <c r="A8" s="16" t="s">
        <v>57</v>
      </c>
      <c r="B8" s="25">
        <v>172300</v>
      </c>
      <c r="C8" s="27">
        <v>18397.92</v>
      </c>
      <c r="D8" s="26">
        <f t="shared" si="0"/>
        <v>10.677840975043527</v>
      </c>
      <c r="E8" s="49">
        <f t="shared" si="1"/>
        <v>-153902.08000000002</v>
      </c>
    </row>
    <row r="9" spans="1:5" ht="12.75">
      <c r="A9" s="16" t="s">
        <v>7</v>
      </c>
      <c r="B9" s="193">
        <f>SUM(B10:B10)</f>
        <v>800</v>
      </c>
      <c r="C9" s="193">
        <f>SUM(C10:C10)</f>
        <v>12736.3</v>
      </c>
      <c r="D9" s="26">
        <f t="shared" si="0"/>
        <v>1592.0375</v>
      </c>
      <c r="E9" s="49">
        <f t="shared" si="1"/>
        <v>11936.3</v>
      </c>
    </row>
    <row r="10" spans="1:5" ht="12.75">
      <c r="A10" s="16" t="s">
        <v>38</v>
      </c>
      <c r="B10" s="25">
        <v>800</v>
      </c>
      <c r="C10" s="27">
        <v>12736.3</v>
      </c>
      <c r="D10" s="26">
        <f t="shared" si="0"/>
        <v>1592.0375</v>
      </c>
      <c r="E10" s="49">
        <f t="shared" si="1"/>
        <v>11936.3</v>
      </c>
    </row>
    <row r="11" spans="1:5" ht="12.75">
      <c r="A11" s="16" t="s">
        <v>9</v>
      </c>
      <c r="B11" s="193">
        <f>SUM(B12:B13)</f>
        <v>329500</v>
      </c>
      <c r="C11" s="193">
        <f>SUM(C12:C13)</f>
        <v>60192.65</v>
      </c>
      <c r="D11" s="26">
        <f t="shared" si="0"/>
        <v>18.267875569044005</v>
      </c>
      <c r="E11" s="49">
        <f t="shared" si="1"/>
        <v>-269307.35</v>
      </c>
    </row>
    <row r="12" spans="1:5" ht="12.75">
      <c r="A12" s="16" t="s">
        <v>39</v>
      </c>
      <c r="B12" s="25">
        <v>129500</v>
      </c>
      <c r="C12" s="27">
        <v>5070.4</v>
      </c>
      <c r="D12" s="26">
        <f t="shared" si="0"/>
        <v>3.915366795366795</v>
      </c>
      <c r="E12" s="49">
        <f t="shared" si="1"/>
        <v>-124429.6</v>
      </c>
    </row>
    <row r="13" spans="1:5" ht="12.75">
      <c r="A13" s="16" t="s">
        <v>10</v>
      </c>
      <c r="B13" s="25">
        <v>200000</v>
      </c>
      <c r="C13" s="27">
        <v>55122.25</v>
      </c>
      <c r="D13" s="26">
        <f t="shared" si="0"/>
        <v>27.561124999999997</v>
      </c>
      <c r="E13" s="49">
        <f t="shared" si="1"/>
        <v>-144877.75</v>
      </c>
    </row>
    <row r="14" spans="1:5" ht="26.25" customHeight="1">
      <c r="A14" s="16" t="s">
        <v>126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7" customHeight="1">
      <c r="A15" s="16" t="s">
        <v>40</v>
      </c>
      <c r="B15" s="193">
        <f>B16+B17</f>
        <v>199500</v>
      </c>
      <c r="C15" s="193">
        <f>SUM(C16:C17)</f>
        <v>10224.66</v>
      </c>
      <c r="D15" s="26">
        <f t="shared" si="0"/>
        <v>5.1251428571428574</v>
      </c>
      <c r="E15" s="49">
        <f t="shared" si="1"/>
        <v>-189275.34</v>
      </c>
    </row>
    <row r="16" spans="1:5" ht="12.75">
      <c r="A16" s="16" t="s">
        <v>41</v>
      </c>
      <c r="B16" s="25">
        <v>79200</v>
      </c>
      <c r="C16" s="25">
        <v>10224.66</v>
      </c>
      <c r="D16" s="26">
        <f t="shared" si="0"/>
        <v>12.909924242424243</v>
      </c>
      <c r="E16" s="49">
        <f t="shared" si="1"/>
        <v>-68975.34</v>
      </c>
    </row>
    <row r="17" spans="1:5" ht="26.25" customHeight="1">
      <c r="A17" s="16" t="s">
        <v>42</v>
      </c>
      <c r="B17" s="25">
        <v>120300</v>
      </c>
      <c r="C17" s="27">
        <v>0</v>
      </c>
      <c r="D17" s="26">
        <f t="shared" si="0"/>
        <v>0</v>
      </c>
      <c r="E17" s="49">
        <f t="shared" si="1"/>
        <v>-120300</v>
      </c>
    </row>
    <row r="18" spans="1:5" ht="19.5" customHeight="1">
      <c r="A18" s="16" t="s">
        <v>113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3.5" customHeight="1">
      <c r="A19" s="16" t="s">
        <v>104</v>
      </c>
      <c r="B19" s="193">
        <f>SUM(B20:B21)</f>
        <v>0</v>
      </c>
      <c r="C19" s="193">
        <f>SUM(C20:C21)</f>
        <v>0</v>
      </c>
      <c r="D19" s="26" t="str">
        <f t="shared" si="0"/>
        <v>   </v>
      </c>
      <c r="E19" s="49">
        <f t="shared" si="1"/>
        <v>0</v>
      </c>
    </row>
    <row r="20" spans="1:5" ht="13.5" customHeight="1">
      <c r="A20" s="16" t="s">
        <v>217</v>
      </c>
      <c r="B20" s="25">
        <v>0</v>
      </c>
      <c r="C20" s="25">
        <v>0</v>
      </c>
      <c r="D20" s="26" t="str">
        <f t="shared" si="0"/>
        <v>   </v>
      </c>
      <c r="E20" s="49"/>
    </row>
    <row r="21" spans="1:5" ht="26.25" customHeight="1">
      <c r="A21" s="16" t="s">
        <v>105</v>
      </c>
      <c r="B21" s="25">
        <v>0</v>
      </c>
      <c r="C21" s="25">
        <v>0</v>
      </c>
      <c r="D21" s="26" t="str">
        <f t="shared" si="0"/>
        <v>   </v>
      </c>
      <c r="E21" s="49">
        <f t="shared" si="1"/>
        <v>0</v>
      </c>
    </row>
    <row r="22" spans="1:5" ht="12.75">
      <c r="A22" s="16" t="s">
        <v>44</v>
      </c>
      <c r="B22" s="193">
        <f>B23</f>
        <v>0</v>
      </c>
      <c r="C22" s="193">
        <f>C23</f>
        <v>14162.25</v>
      </c>
      <c r="D22" s="26" t="str">
        <f t="shared" si="0"/>
        <v>   </v>
      </c>
      <c r="E22" s="49">
        <f t="shared" si="1"/>
        <v>14162.25</v>
      </c>
    </row>
    <row r="23" spans="1:5" ht="12.75">
      <c r="A23" s="16" t="s">
        <v>66</v>
      </c>
      <c r="B23" s="25">
        <v>0</v>
      </c>
      <c r="C23" s="25">
        <v>14162.25</v>
      </c>
      <c r="D23" s="26" t="str">
        <f t="shared" si="0"/>
        <v>   </v>
      </c>
      <c r="E23" s="49">
        <f t="shared" si="1"/>
        <v>14162.25</v>
      </c>
    </row>
    <row r="24" spans="1:5" ht="16.5" customHeight="1">
      <c r="A24" s="16" t="s">
        <v>43</v>
      </c>
      <c r="B24" s="25">
        <v>0</v>
      </c>
      <c r="C24" s="24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4" t="s">
        <v>11</v>
      </c>
      <c r="B25" s="217">
        <f>SUM(B7,B9,B11,B15,B18,B19,B22,B24,B14)</f>
        <v>702100</v>
      </c>
      <c r="C25" s="217">
        <f>SUM(C7,C9,C11,C15,C18,C19,C22,C24,C14)</f>
        <v>115713.78</v>
      </c>
      <c r="D25" s="166">
        <f t="shared" si="0"/>
        <v>16.48109670987039</v>
      </c>
      <c r="E25" s="167">
        <f t="shared" si="1"/>
        <v>-586386.22</v>
      </c>
    </row>
    <row r="26" spans="1:5" ht="14.25" customHeight="1">
      <c r="A26" s="17" t="s">
        <v>46</v>
      </c>
      <c r="B26" s="24">
        <v>2793400</v>
      </c>
      <c r="C26" s="24">
        <v>624600</v>
      </c>
      <c r="D26" s="26">
        <f t="shared" si="0"/>
        <v>22.35984821364645</v>
      </c>
      <c r="E26" s="49">
        <f t="shared" si="1"/>
        <v>-2168800</v>
      </c>
    </row>
    <row r="27" spans="1:5" ht="15.75" customHeight="1">
      <c r="A27" s="16" t="s">
        <v>63</v>
      </c>
      <c r="B27" s="25">
        <v>0</v>
      </c>
      <c r="C27" s="27">
        <v>0</v>
      </c>
      <c r="D27" s="26" t="str">
        <f t="shared" si="0"/>
        <v>   </v>
      </c>
      <c r="E27" s="49">
        <f t="shared" si="1"/>
        <v>0</v>
      </c>
    </row>
    <row r="28" spans="1:5" ht="27" customHeight="1">
      <c r="A28" s="200" t="s">
        <v>67</v>
      </c>
      <c r="B28" s="201">
        <v>127000</v>
      </c>
      <c r="C28" s="201">
        <v>125700</v>
      </c>
      <c r="D28" s="202">
        <f t="shared" si="0"/>
        <v>98.9763779527559</v>
      </c>
      <c r="E28" s="203">
        <f t="shared" si="1"/>
        <v>-1300</v>
      </c>
    </row>
    <row r="29" spans="1:5" ht="27" customHeight="1">
      <c r="A29" s="204" t="s">
        <v>140</v>
      </c>
      <c r="B29" s="201">
        <v>100</v>
      </c>
      <c r="C29" s="201">
        <v>0</v>
      </c>
      <c r="D29" s="202">
        <f t="shared" si="0"/>
        <v>0</v>
      </c>
      <c r="E29" s="203">
        <f t="shared" si="1"/>
        <v>-100</v>
      </c>
    </row>
    <row r="30" spans="1:5" ht="26.25" customHeight="1">
      <c r="A30" s="16" t="s">
        <v>120</v>
      </c>
      <c r="B30" s="25">
        <v>0</v>
      </c>
      <c r="C30" s="27">
        <v>0</v>
      </c>
      <c r="D30" s="26" t="str">
        <f t="shared" si="0"/>
        <v>   </v>
      </c>
      <c r="E30" s="49">
        <f t="shared" si="1"/>
        <v>0</v>
      </c>
    </row>
    <row r="31" spans="1:5" ht="18.75" customHeight="1">
      <c r="A31" s="16" t="s">
        <v>259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24.75" customHeight="1">
      <c r="A32" s="16" t="s">
        <v>170</v>
      </c>
      <c r="B32" s="25">
        <v>0</v>
      </c>
      <c r="C32" s="27">
        <v>0</v>
      </c>
      <c r="D32" s="26" t="str">
        <f t="shared" si="0"/>
        <v>   </v>
      </c>
      <c r="E32" s="49">
        <f t="shared" si="1"/>
        <v>0</v>
      </c>
    </row>
    <row r="33" spans="1:5" ht="26.25" customHeight="1">
      <c r="A33" s="200" t="s">
        <v>149</v>
      </c>
      <c r="B33" s="201">
        <v>6600</v>
      </c>
      <c r="C33" s="201">
        <v>0</v>
      </c>
      <c r="D33" s="202">
        <f t="shared" si="0"/>
        <v>0</v>
      </c>
      <c r="E33" s="203">
        <f t="shared" si="1"/>
        <v>-6600</v>
      </c>
    </row>
    <row r="34" spans="1:5" ht="17.25" customHeight="1">
      <c r="A34" s="16" t="s">
        <v>72</v>
      </c>
      <c r="B34" s="193">
        <f>B35</f>
        <v>492000</v>
      </c>
      <c r="C34" s="193">
        <f>C35</f>
        <v>0</v>
      </c>
      <c r="D34" s="26">
        <f t="shared" si="0"/>
        <v>0</v>
      </c>
      <c r="E34" s="49">
        <f t="shared" si="1"/>
        <v>-492000</v>
      </c>
    </row>
    <row r="35" spans="1:5" s="7" customFormat="1" ht="14.25" customHeight="1">
      <c r="A35" s="63" t="s">
        <v>180</v>
      </c>
      <c r="B35" s="64">
        <v>492000</v>
      </c>
      <c r="C35" s="25">
        <v>0</v>
      </c>
      <c r="D35" s="64">
        <f t="shared" si="0"/>
        <v>0</v>
      </c>
      <c r="E35" s="43">
        <f t="shared" si="1"/>
        <v>-492000</v>
      </c>
    </row>
    <row r="36" spans="1:5" ht="42" customHeight="1">
      <c r="A36" s="16" t="s">
        <v>154</v>
      </c>
      <c r="B36" s="25">
        <v>0</v>
      </c>
      <c r="C36" s="25">
        <v>0</v>
      </c>
      <c r="D36" s="26" t="str">
        <f t="shared" si="0"/>
        <v>   </v>
      </c>
      <c r="E36" s="49">
        <f t="shared" si="1"/>
        <v>0</v>
      </c>
    </row>
    <row r="37" spans="1:5" ht="21.75" customHeight="1">
      <c r="A37" s="164" t="s">
        <v>14</v>
      </c>
      <c r="B37" s="168">
        <f>SUM(B25,B26,B27:B34,B36,)</f>
        <v>4121200</v>
      </c>
      <c r="C37" s="168">
        <f>SUM(C25,C26,C27:C34,C36,)</f>
        <v>866013.78</v>
      </c>
      <c r="D37" s="166">
        <f t="shared" si="0"/>
        <v>21.013631466563137</v>
      </c>
      <c r="E37" s="167">
        <f t="shared" si="1"/>
        <v>-3255186.2199999997</v>
      </c>
    </row>
    <row r="38" spans="1:5" ht="20.25" customHeight="1">
      <c r="A38" s="30" t="s">
        <v>64</v>
      </c>
      <c r="B38" s="24"/>
      <c r="C38" s="25"/>
      <c r="D38" s="26" t="str">
        <f t="shared" si="0"/>
        <v>   </v>
      </c>
      <c r="E38" s="49">
        <f t="shared" si="1"/>
        <v>0</v>
      </c>
    </row>
    <row r="39" spans="1:5" ht="12.75">
      <c r="A39" s="22" t="s">
        <v>15</v>
      </c>
      <c r="B39" s="51"/>
      <c r="C39" s="52"/>
      <c r="D39" s="26" t="str">
        <f t="shared" si="0"/>
        <v>   </v>
      </c>
      <c r="E39" s="49">
        <f t="shared" si="1"/>
        <v>0</v>
      </c>
    </row>
    <row r="40" spans="1:5" ht="12.75">
      <c r="A40" s="16" t="s">
        <v>48</v>
      </c>
      <c r="B40" s="25">
        <v>755700</v>
      </c>
      <c r="C40" s="25">
        <v>135576.99</v>
      </c>
      <c r="D40" s="26">
        <f t="shared" si="0"/>
        <v>17.94058356490671</v>
      </c>
      <c r="E40" s="49">
        <f t="shared" si="1"/>
        <v>-620123.01</v>
      </c>
    </row>
    <row r="41" spans="1:5" ht="13.5" customHeight="1">
      <c r="A41" s="16" t="s">
        <v>49</v>
      </c>
      <c r="B41" s="25">
        <v>755200</v>
      </c>
      <c r="C41" s="25">
        <v>135576.99</v>
      </c>
      <c r="D41" s="26">
        <f t="shared" si="0"/>
        <v>17.95246159957627</v>
      </c>
      <c r="E41" s="49">
        <f t="shared" si="1"/>
        <v>-619623.01</v>
      </c>
    </row>
    <row r="42" spans="1:5" ht="12.75">
      <c r="A42" s="118" t="s">
        <v>207</v>
      </c>
      <c r="B42" s="25">
        <v>476900</v>
      </c>
      <c r="C42" s="28">
        <v>87381</v>
      </c>
      <c r="D42" s="26">
        <f t="shared" si="0"/>
        <v>18.322709163346616</v>
      </c>
      <c r="E42" s="49">
        <f t="shared" si="1"/>
        <v>-389519</v>
      </c>
    </row>
    <row r="43" spans="1:5" ht="12.75">
      <c r="A43" s="16" t="s">
        <v>181</v>
      </c>
      <c r="B43" s="25">
        <v>100</v>
      </c>
      <c r="C43" s="28">
        <v>0</v>
      </c>
      <c r="D43" s="26">
        <f t="shared" si="0"/>
        <v>0</v>
      </c>
      <c r="E43" s="49">
        <f t="shared" si="1"/>
        <v>-100</v>
      </c>
    </row>
    <row r="44" spans="1:5" ht="12.75">
      <c r="A44" s="16" t="s">
        <v>141</v>
      </c>
      <c r="B44" s="25">
        <v>500</v>
      </c>
      <c r="C44" s="27">
        <v>0</v>
      </c>
      <c r="D44" s="26">
        <f t="shared" si="0"/>
        <v>0</v>
      </c>
      <c r="E44" s="49">
        <f t="shared" si="1"/>
        <v>-500</v>
      </c>
    </row>
    <row r="45" spans="1:5" ht="12.75">
      <c r="A45" s="16" t="s">
        <v>65</v>
      </c>
      <c r="B45" s="194">
        <f>SUM(B46)</f>
        <v>127000</v>
      </c>
      <c r="C45" s="194">
        <f>SUM(C46)</f>
        <v>30811.02</v>
      </c>
      <c r="D45" s="26">
        <f t="shared" si="0"/>
        <v>24.26064566929134</v>
      </c>
      <c r="E45" s="49">
        <f t="shared" si="1"/>
        <v>-96188.98</v>
      </c>
    </row>
    <row r="46" spans="1:5" ht="13.5" customHeight="1">
      <c r="A46" s="42" t="s">
        <v>176</v>
      </c>
      <c r="B46" s="25">
        <v>127000</v>
      </c>
      <c r="C46" s="27">
        <v>30811.02</v>
      </c>
      <c r="D46" s="26">
        <f t="shared" si="0"/>
        <v>24.26064566929134</v>
      </c>
      <c r="E46" s="49">
        <f t="shared" si="1"/>
        <v>-96188.98</v>
      </c>
    </row>
    <row r="47" spans="1:5" ht="16.5" customHeight="1">
      <c r="A47" s="16" t="s">
        <v>50</v>
      </c>
      <c r="B47" s="193">
        <f>SUM(B48)</f>
        <v>900</v>
      </c>
      <c r="C47" s="193">
        <f>SUM(C48)</f>
        <v>0</v>
      </c>
      <c r="D47" s="26">
        <f t="shared" si="0"/>
        <v>0</v>
      </c>
      <c r="E47" s="49">
        <f t="shared" si="1"/>
        <v>-900</v>
      </c>
    </row>
    <row r="48" spans="1:5" ht="22.5" customHeight="1">
      <c r="A48" s="47" t="s">
        <v>129</v>
      </c>
      <c r="B48" s="25">
        <v>900</v>
      </c>
      <c r="C48" s="27">
        <v>0</v>
      </c>
      <c r="D48" s="26">
        <f t="shared" si="0"/>
        <v>0</v>
      </c>
      <c r="E48" s="49">
        <f t="shared" si="1"/>
        <v>-900</v>
      </c>
    </row>
    <row r="49" spans="1:5" ht="12.75">
      <c r="A49" s="16" t="s">
        <v>51</v>
      </c>
      <c r="B49" s="193">
        <f>B50</f>
        <v>592000</v>
      </c>
      <c r="C49" s="193">
        <f>C50</f>
        <v>49500</v>
      </c>
      <c r="D49" s="26">
        <f t="shared" si="0"/>
        <v>8.361486486486488</v>
      </c>
      <c r="E49" s="49">
        <f t="shared" si="1"/>
        <v>-542500</v>
      </c>
    </row>
    <row r="50" spans="1:5" ht="12.75">
      <c r="A50" s="145" t="s">
        <v>285</v>
      </c>
      <c r="B50" s="193">
        <f>B51+B52+B53</f>
        <v>592000</v>
      </c>
      <c r="C50" s="193">
        <f>C51+C52+C53</f>
        <v>49500</v>
      </c>
      <c r="D50" s="26"/>
      <c r="E50" s="49"/>
    </row>
    <row r="51" spans="1:5" ht="12.75">
      <c r="A51" s="103" t="s">
        <v>325</v>
      </c>
      <c r="B51" s="193">
        <v>350500</v>
      </c>
      <c r="C51" s="193"/>
      <c r="D51" s="26"/>
      <c r="E51" s="49"/>
    </row>
    <row r="52" spans="1:5" ht="31.5" customHeight="1">
      <c r="A52" s="91" t="s">
        <v>286</v>
      </c>
      <c r="B52" s="193">
        <v>141500</v>
      </c>
      <c r="C52" s="193">
        <v>0</v>
      </c>
      <c r="D52" s="26">
        <f t="shared" si="0"/>
        <v>0</v>
      </c>
      <c r="E52" s="49">
        <f t="shared" si="1"/>
        <v>-141500</v>
      </c>
    </row>
    <row r="53" spans="1:5" ht="35.25" customHeight="1">
      <c r="A53" s="91" t="s">
        <v>287</v>
      </c>
      <c r="B53" s="25">
        <v>100000</v>
      </c>
      <c r="C53" s="25">
        <v>49500</v>
      </c>
      <c r="D53" s="26">
        <f t="shared" si="0"/>
        <v>49.5</v>
      </c>
      <c r="E53" s="49">
        <f t="shared" si="1"/>
        <v>-50500</v>
      </c>
    </row>
    <row r="54" spans="1:5" ht="15.75" customHeight="1">
      <c r="A54" s="16" t="s">
        <v>16</v>
      </c>
      <c r="B54" s="193">
        <f>SUM(B56,B55)</f>
        <v>392300</v>
      </c>
      <c r="C54" s="193">
        <f>SUM(C56,C55)</f>
        <v>132830.92</v>
      </c>
      <c r="D54" s="26">
        <f t="shared" si="0"/>
        <v>33.85952587305634</v>
      </c>
      <c r="E54" s="49">
        <f t="shared" si="1"/>
        <v>-259469.08</v>
      </c>
    </row>
    <row r="55" spans="1:5" ht="15.75" customHeight="1">
      <c r="A55" s="16" t="s">
        <v>130</v>
      </c>
      <c r="B55" s="25">
        <v>0</v>
      </c>
      <c r="C55" s="25">
        <v>0</v>
      </c>
      <c r="D55" s="26" t="str">
        <f t="shared" si="0"/>
        <v>   </v>
      </c>
      <c r="E55" s="49">
        <f t="shared" si="1"/>
        <v>0</v>
      </c>
    </row>
    <row r="56" spans="1:5" ht="12.75">
      <c r="A56" s="16" t="s">
        <v>79</v>
      </c>
      <c r="B56" s="25">
        <v>392300</v>
      </c>
      <c r="C56" s="25">
        <v>132830.92</v>
      </c>
      <c r="D56" s="26">
        <f t="shared" si="0"/>
        <v>33.85952587305634</v>
      </c>
      <c r="E56" s="49">
        <f t="shared" si="1"/>
        <v>-259469.08</v>
      </c>
    </row>
    <row r="57" spans="1:5" ht="12.75">
      <c r="A57" s="16" t="s">
        <v>77</v>
      </c>
      <c r="B57" s="25">
        <v>341600</v>
      </c>
      <c r="C57" s="27">
        <v>132830.92</v>
      </c>
      <c r="D57" s="26">
        <f t="shared" si="0"/>
        <v>38.88492974238876</v>
      </c>
      <c r="E57" s="49">
        <f t="shared" si="1"/>
        <v>-208769.08</v>
      </c>
    </row>
    <row r="58" spans="1:5" ht="12.75">
      <c r="A58" s="16" t="s">
        <v>80</v>
      </c>
      <c r="B58" s="25">
        <v>50700</v>
      </c>
      <c r="C58" s="27">
        <v>0</v>
      </c>
      <c r="D58" s="26">
        <f t="shared" si="0"/>
        <v>0</v>
      </c>
      <c r="E58" s="49">
        <f t="shared" si="1"/>
        <v>-50700</v>
      </c>
    </row>
    <row r="59" spans="1:5" ht="18" customHeight="1">
      <c r="A59" s="18" t="s">
        <v>24</v>
      </c>
      <c r="B59" s="31">
        <v>10000</v>
      </c>
      <c r="C59" s="31">
        <v>0</v>
      </c>
      <c r="D59" s="26">
        <f t="shared" si="0"/>
        <v>0</v>
      </c>
      <c r="E59" s="49">
        <f t="shared" si="1"/>
        <v>-10000</v>
      </c>
    </row>
    <row r="60" spans="1:5" ht="15" customHeight="1">
      <c r="A60" s="16" t="s">
        <v>54</v>
      </c>
      <c r="B60" s="191">
        <f>B61</f>
        <v>2222200</v>
      </c>
      <c r="C60" s="191">
        <f>C61</f>
        <v>482161.96</v>
      </c>
      <c r="D60" s="26">
        <f t="shared" si="0"/>
        <v>21.697505175051752</v>
      </c>
      <c r="E60" s="49">
        <f t="shared" si="1"/>
        <v>-1740038.04</v>
      </c>
    </row>
    <row r="61" spans="1:5" ht="12.75">
      <c r="A61" s="16" t="s">
        <v>55</v>
      </c>
      <c r="B61" s="25">
        <v>2222200</v>
      </c>
      <c r="C61" s="27">
        <v>482161.96</v>
      </c>
      <c r="D61" s="26">
        <f t="shared" si="0"/>
        <v>21.697505175051752</v>
      </c>
      <c r="E61" s="49">
        <f t="shared" si="1"/>
        <v>-1740038.04</v>
      </c>
    </row>
    <row r="62" spans="1:5" ht="12.75">
      <c r="A62" s="118" t="s">
        <v>208</v>
      </c>
      <c r="B62" s="25">
        <v>0</v>
      </c>
      <c r="C62" s="27">
        <v>0</v>
      </c>
      <c r="D62" s="26" t="str">
        <f t="shared" si="0"/>
        <v>   </v>
      </c>
      <c r="E62" s="49">
        <f t="shared" si="1"/>
        <v>0</v>
      </c>
    </row>
    <row r="63" spans="1:5" ht="12.75">
      <c r="A63" s="16" t="s">
        <v>177</v>
      </c>
      <c r="B63" s="25">
        <v>6600</v>
      </c>
      <c r="C63" s="27">
        <v>6600</v>
      </c>
      <c r="D63" s="26">
        <f t="shared" si="0"/>
        <v>100</v>
      </c>
      <c r="E63" s="49">
        <f t="shared" si="1"/>
        <v>0</v>
      </c>
    </row>
    <row r="64" spans="1:5" ht="12.75">
      <c r="A64" s="16" t="s">
        <v>214</v>
      </c>
      <c r="B64" s="193">
        <f>SUM(B65,)</f>
        <v>20000</v>
      </c>
      <c r="C64" s="193">
        <f>SUM(C65,)</f>
        <v>0</v>
      </c>
      <c r="D64" s="26">
        <f t="shared" si="0"/>
        <v>0</v>
      </c>
      <c r="E64" s="49">
        <f t="shared" si="1"/>
        <v>-20000</v>
      </c>
    </row>
    <row r="65" spans="1:5" ht="12.75">
      <c r="A65" s="16" t="s">
        <v>56</v>
      </c>
      <c r="B65" s="25">
        <v>20000</v>
      </c>
      <c r="C65" s="28">
        <v>0</v>
      </c>
      <c r="D65" s="26">
        <f t="shared" si="0"/>
        <v>0</v>
      </c>
      <c r="E65" s="49">
        <f t="shared" si="1"/>
        <v>-20000</v>
      </c>
    </row>
    <row r="66" spans="1:5" ht="12.75">
      <c r="A66" s="16" t="s">
        <v>18</v>
      </c>
      <c r="B66" s="193">
        <f>B67</f>
        <v>161900</v>
      </c>
      <c r="C66" s="193">
        <f>C67</f>
        <v>0</v>
      </c>
      <c r="D66" s="26">
        <f t="shared" si="0"/>
        <v>0</v>
      </c>
      <c r="E66" s="49">
        <f t="shared" si="1"/>
        <v>-161900</v>
      </c>
    </row>
    <row r="67" spans="1:5" ht="14.25" customHeight="1">
      <c r="A67" s="16" t="s">
        <v>221</v>
      </c>
      <c r="B67" s="193">
        <f>SUM(B77,B68)</f>
        <v>161900</v>
      </c>
      <c r="C67" s="193">
        <f>SUM(C77,C68)</f>
        <v>0</v>
      </c>
      <c r="D67" s="26">
        <f t="shared" si="0"/>
        <v>0</v>
      </c>
      <c r="E67" s="49">
        <f t="shared" si="1"/>
        <v>-161900</v>
      </c>
    </row>
    <row r="68" spans="1:5" ht="18" customHeight="1">
      <c r="A68" s="119" t="s">
        <v>252</v>
      </c>
      <c r="B68" s="198">
        <f>SUM(B69,B73)</f>
        <v>161900</v>
      </c>
      <c r="C68" s="198">
        <f>SUM(C69,C73)</f>
        <v>0</v>
      </c>
      <c r="D68" s="26">
        <f t="shared" si="0"/>
        <v>0</v>
      </c>
      <c r="E68" s="49">
        <f t="shared" si="1"/>
        <v>-161900</v>
      </c>
    </row>
    <row r="69" spans="1:5" ht="17.25" customHeight="1">
      <c r="A69" s="16" t="s">
        <v>226</v>
      </c>
      <c r="B69" s="193">
        <f>SUM(B70:B72)</f>
        <v>161900</v>
      </c>
      <c r="C69" s="193">
        <f>SUM(C70:C72)</f>
        <v>0</v>
      </c>
      <c r="D69" s="26">
        <f aca="true" t="shared" si="2" ref="D69:D82">IF(B69=0,"   ",C69/B69*100)</f>
        <v>0</v>
      </c>
      <c r="E69" s="49">
        <f t="shared" si="1"/>
        <v>-161900</v>
      </c>
    </row>
    <row r="70" spans="1:5" ht="17.25" customHeight="1">
      <c r="A70" s="47" t="s">
        <v>233</v>
      </c>
      <c r="B70" s="25">
        <v>0</v>
      </c>
      <c r="C70" s="27">
        <v>0</v>
      </c>
      <c r="D70" s="26" t="str">
        <f t="shared" si="2"/>
        <v>   </v>
      </c>
      <c r="E70" s="49">
        <f t="shared" si="1"/>
        <v>0</v>
      </c>
    </row>
    <row r="71" spans="1:5" ht="17.25" customHeight="1">
      <c r="A71" s="47" t="s">
        <v>234</v>
      </c>
      <c r="B71" s="25">
        <v>0</v>
      </c>
      <c r="C71" s="27"/>
      <c r="D71" s="26" t="str">
        <f t="shared" si="2"/>
        <v>   </v>
      </c>
      <c r="E71" s="49">
        <f t="shared" si="1"/>
        <v>0</v>
      </c>
    </row>
    <row r="72" spans="1:5" ht="17.25" customHeight="1">
      <c r="A72" s="47" t="s">
        <v>235</v>
      </c>
      <c r="B72" s="25">
        <v>161900</v>
      </c>
      <c r="C72" s="27">
        <v>0</v>
      </c>
      <c r="D72" s="26">
        <f t="shared" si="2"/>
        <v>0</v>
      </c>
      <c r="E72" s="49">
        <f t="shared" si="1"/>
        <v>-161900</v>
      </c>
    </row>
    <row r="73" spans="1:5" ht="26.25" customHeight="1">
      <c r="A73" s="16" t="s">
        <v>272</v>
      </c>
      <c r="B73" s="193">
        <f>SUM(B74:B76)</f>
        <v>0</v>
      </c>
      <c r="C73" s="193">
        <f>SUM(C74:C76)</f>
        <v>0</v>
      </c>
      <c r="D73" s="26" t="str">
        <f t="shared" si="2"/>
        <v>   </v>
      </c>
      <c r="E73" s="49">
        <f t="shared" si="1"/>
        <v>0</v>
      </c>
    </row>
    <row r="74" spans="1:5" ht="13.5" customHeight="1">
      <c r="A74" s="47" t="s">
        <v>233</v>
      </c>
      <c r="B74" s="25">
        <v>0</v>
      </c>
      <c r="C74" s="27"/>
      <c r="D74" s="26" t="str">
        <f t="shared" si="2"/>
        <v>   </v>
      </c>
      <c r="E74" s="49">
        <f t="shared" si="1"/>
        <v>0</v>
      </c>
    </row>
    <row r="75" spans="1:5" ht="13.5" customHeight="1">
      <c r="A75" s="47" t="s">
        <v>234</v>
      </c>
      <c r="B75" s="25">
        <v>0</v>
      </c>
      <c r="C75" s="27">
        <v>0</v>
      </c>
      <c r="D75" s="26" t="str">
        <f t="shared" si="2"/>
        <v>   </v>
      </c>
      <c r="E75" s="49">
        <f t="shared" si="1"/>
        <v>0</v>
      </c>
    </row>
    <row r="76" spans="1:5" ht="13.5" customHeight="1">
      <c r="A76" s="47" t="s">
        <v>235</v>
      </c>
      <c r="B76" s="25"/>
      <c r="C76" s="27"/>
      <c r="D76" s="26" t="str">
        <f t="shared" si="2"/>
        <v>   </v>
      </c>
      <c r="E76" s="49">
        <f t="shared" si="1"/>
        <v>0</v>
      </c>
    </row>
    <row r="77" spans="1:5" ht="17.25" customHeight="1">
      <c r="A77" s="119" t="s">
        <v>227</v>
      </c>
      <c r="B77" s="198">
        <f>SUM(B78:B80)</f>
        <v>0</v>
      </c>
      <c r="C77" s="198">
        <f>SUM(C78:C80)</f>
        <v>0</v>
      </c>
      <c r="D77" s="26" t="str">
        <f t="shared" si="2"/>
        <v>   </v>
      </c>
      <c r="E77" s="49">
        <f t="shared" si="1"/>
        <v>0</v>
      </c>
    </row>
    <row r="78" spans="1:5" ht="12" customHeight="1">
      <c r="A78" s="47" t="s">
        <v>233</v>
      </c>
      <c r="B78" s="120">
        <v>0</v>
      </c>
      <c r="C78" s="121">
        <v>0</v>
      </c>
      <c r="D78" s="26" t="str">
        <f t="shared" si="2"/>
        <v>   </v>
      </c>
      <c r="E78" s="49">
        <f t="shared" si="1"/>
        <v>0</v>
      </c>
    </row>
    <row r="79" spans="1:5" ht="11.25" customHeight="1">
      <c r="A79" s="47" t="s">
        <v>234</v>
      </c>
      <c r="B79" s="120">
        <v>0</v>
      </c>
      <c r="C79" s="121">
        <v>0</v>
      </c>
      <c r="D79" s="26" t="str">
        <f t="shared" si="2"/>
        <v>   </v>
      </c>
      <c r="E79" s="49">
        <f t="shared" si="1"/>
        <v>0</v>
      </c>
    </row>
    <row r="80" spans="1:5" ht="11.25" customHeight="1">
      <c r="A80" s="47" t="s">
        <v>235</v>
      </c>
      <c r="B80" s="120">
        <v>0</v>
      </c>
      <c r="C80" s="121">
        <v>0</v>
      </c>
      <c r="D80" s="26" t="str">
        <f t="shared" si="2"/>
        <v>   </v>
      </c>
      <c r="E80" s="49">
        <f t="shared" si="1"/>
        <v>0</v>
      </c>
    </row>
    <row r="81" spans="1:5" ht="18" customHeight="1">
      <c r="A81" s="164" t="s">
        <v>19</v>
      </c>
      <c r="B81" s="168">
        <f>SUM(B40,B45,B47,B49,B54,B59,B60,B64,B66,)</f>
        <v>4282000</v>
      </c>
      <c r="C81" s="168">
        <f>SUM(C40,C45,C47,C49,C54,C59,C60,C64,C66,)</f>
        <v>830880.89</v>
      </c>
      <c r="D81" s="166">
        <f t="shared" si="2"/>
        <v>19.404037599252685</v>
      </c>
      <c r="E81" s="167">
        <f t="shared" si="1"/>
        <v>-3451119.11</v>
      </c>
    </row>
    <row r="82" spans="1:5" ht="16.5" customHeight="1" thickBot="1">
      <c r="A82" s="98" t="s">
        <v>210</v>
      </c>
      <c r="B82" s="212">
        <f>B42+B62</f>
        <v>476900</v>
      </c>
      <c r="C82" s="212">
        <f>C42+C62</f>
        <v>87381</v>
      </c>
      <c r="D82" s="99">
        <f t="shared" si="2"/>
        <v>18.322709163346616</v>
      </c>
      <c r="E82" s="100">
        <f t="shared" si="1"/>
        <v>-389519</v>
      </c>
    </row>
    <row r="83" spans="1:5" s="76" customFormat="1" ht="23.25" customHeight="1">
      <c r="A83" s="110" t="s">
        <v>249</v>
      </c>
      <c r="B83" s="110"/>
      <c r="C83" s="250"/>
      <c r="D83" s="250"/>
      <c r="E83" s="250"/>
    </row>
    <row r="84" spans="1:5" s="76" customFormat="1" ht="12" customHeight="1">
      <c r="A84" s="110" t="s">
        <v>248</v>
      </c>
      <c r="B84" s="110"/>
      <c r="C84" s="111" t="s">
        <v>250</v>
      </c>
      <c r="D84" s="112"/>
      <c r="E84" s="113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</sheetData>
  <mergeCells count="2">
    <mergeCell ref="A1:E1"/>
    <mergeCell ref="C83:E83"/>
  </mergeCells>
  <printOptions/>
  <pageMargins left="0.75" right="0.75" top="0.48" bottom="0.46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49">
      <selection activeCell="A73" sqref="A73"/>
    </sheetView>
  </sheetViews>
  <sheetFormatPr defaultColWidth="9.00390625" defaultRowHeight="12.75"/>
  <cols>
    <col min="1" max="1" width="89.25390625" style="0" customWidth="1"/>
    <col min="2" max="2" width="18.625" style="0" customWidth="1"/>
    <col min="3" max="3" width="19.25390625" style="0" customWidth="1"/>
    <col min="4" max="4" width="18.25390625" style="0" customWidth="1"/>
    <col min="5" max="5" width="19.125" style="0" customWidth="1"/>
  </cols>
  <sheetData>
    <row r="1" spans="1:5" ht="18">
      <c r="A1" s="252" t="s">
        <v>309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3">
      <c r="A4" s="35" t="s">
        <v>1</v>
      </c>
      <c r="B4" s="19" t="s">
        <v>282</v>
      </c>
      <c r="C4" s="32" t="s">
        <v>307</v>
      </c>
      <c r="D4" s="19" t="s">
        <v>290</v>
      </c>
      <c r="E4" s="19" t="s">
        <v>291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80300</v>
      </c>
      <c r="C7" s="191">
        <f>C8</f>
        <v>9618.84</v>
      </c>
      <c r="D7" s="26">
        <f aca="true" t="shared" si="0" ref="D7:D71">IF(B7=0,"   ",C7/B7*100)</f>
        <v>11.9786301369863</v>
      </c>
      <c r="E7" s="49">
        <f aca="true" t="shared" si="1" ref="E7:E76">C7-B7</f>
        <v>-70681.16</v>
      </c>
    </row>
    <row r="8" spans="1:5" ht="12.75">
      <c r="A8" s="16" t="s">
        <v>57</v>
      </c>
      <c r="B8" s="25">
        <v>80300</v>
      </c>
      <c r="C8" s="27">
        <v>9618.84</v>
      </c>
      <c r="D8" s="26">
        <f t="shared" si="0"/>
        <v>11.9786301369863</v>
      </c>
      <c r="E8" s="49">
        <f t="shared" si="1"/>
        <v>-70681.16</v>
      </c>
    </row>
    <row r="9" spans="1:5" ht="13.5" customHeight="1">
      <c r="A9" s="16" t="s">
        <v>7</v>
      </c>
      <c r="B9" s="193">
        <f>SUM(B10:B10)</f>
        <v>51600</v>
      </c>
      <c r="C9" s="193">
        <f>SUM(C10:C10)</f>
        <v>4250.71</v>
      </c>
      <c r="D9" s="26">
        <f t="shared" si="0"/>
        <v>8.237810077519379</v>
      </c>
      <c r="E9" s="49">
        <f t="shared" si="1"/>
        <v>-47349.29</v>
      </c>
    </row>
    <row r="10" spans="1:5" ht="13.5" customHeight="1">
      <c r="A10" s="16" t="s">
        <v>38</v>
      </c>
      <c r="B10" s="25">
        <v>51600</v>
      </c>
      <c r="C10" s="27">
        <v>4250.71</v>
      </c>
      <c r="D10" s="26">
        <f t="shared" si="0"/>
        <v>8.237810077519379</v>
      </c>
      <c r="E10" s="49">
        <f t="shared" si="1"/>
        <v>-47349.29</v>
      </c>
    </row>
    <row r="11" spans="1:5" ht="12.75">
      <c r="A11" s="16" t="s">
        <v>9</v>
      </c>
      <c r="B11" s="193">
        <f>SUM(B12:B13)</f>
        <v>110600</v>
      </c>
      <c r="C11" s="193">
        <f>SUM(C12:C13)</f>
        <v>27128.68</v>
      </c>
      <c r="D11" s="26">
        <f t="shared" si="0"/>
        <v>24.52864376130199</v>
      </c>
      <c r="E11" s="49">
        <f t="shared" si="1"/>
        <v>-83471.32</v>
      </c>
    </row>
    <row r="12" spans="1:5" ht="13.5" customHeight="1">
      <c r="A12" s="16" t="s">
        <v>39</v>
      </c>
      <c r="B12" s="25">
        <v>28700</v>
      </c>
      <c r="C12" s="27">
        <v>359.4</v>
      </c>
      <c r="D12" s="26">
        <f t="shared" si="0"/>
        <v>1.2522648083623693</v>
      </c>
      <c r="E12" s="49">
        <f t="shared" si="1"/>
        <v>-28340.6</v>
      </c>
    </row>
    <row r="13" spans="1:5" ht="12.75">
      <c r="A13" s="16" t="s">
        <v>10</v>
      </c>
      <c r="B13" s="25">
        <v>81900</v>
      </c>
      <c r="C13" s="27">
        <v>26769.28</v>
      </c>
      <c r="D13" s="26">
        <f t="shared" si="0"/>
        <v>32.685323565323564</v>
      </c>
      <c r="E13" s="49">
        <f t="shared" si="1"/>
        <v>-55130.72</v>
      </c>
    </row>
    <row r="14" spans="1:5" ht="25.5">
      <c r="A14" s="16" t="s">
        <v>126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6.25" customHeight="1">
      <c r="A15" s="16" t="s">
        <v>40</v>
      </c>
      <c r="B15" s="193">
        <f>B17+B16</f>
        <v>28500</v>
      </c>
      <c r="C15" s="191">
        <f>SUM(C16:C17)</f>
        <v>5562.79</v>
      </c>
      <c r="D15" s="26">
        <f t="shared" si="0"/>
        <v>19.518561403508773</v>
      </c>
      <c r="E15" s="49">
        <f t="shared" si="1"/>
        <v>-22937.21</v>
      </c>
    </row>
    <row r="16" spans="1:5" ht="12.75">
      <c r="A16" s="16" t="s">
        <v>41</v>
      </c>
      <c r="B16" s="25">
        <v>28300</v>
      </c>
      <c r="C16" s="27">
        <v>5562.79</v>
      </c>
      <c r="D16" s="26">
        <f t="shared" si="0"/>
        <v>19.65650176678445</v>
      </c>
      <c r="E16" s="49">
        <f t="shared" si="1"/>
        <v>-22737.21</v>
      </c>
    </row>
    <row r="17" spans="1:5" ht="25.5" customHeight="1">
      <c r="A17" s="16" t="s">
        <v>42</v>
      </c>
      <c r="B17" s="25">
        <v>200</v>
      </c>
      <c r="C17" s="27">
        <v>0</v>
      </c>
      <c r="D17" s="26">
        <f t="shared" si="0"/>
        <v>0</v>
      </c>
      <c r="E17" s="49">
        <f t="shared" si="1"/>
        <v>-200</v>
      </c>
    </row>
    <row r="18" spans="1:5" ht="18.75" customHeight="1">
      <c r="A18" s="42" t="s">
        <v>131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101</v>
      </c>
      <c r="B19" s="193">
        <f>SUM(B20)</f>
        <v>0</v>
      </c>
      <c r="C19" s="193">
        <f>SUM(C20)</f>
        <v>0</v>
      </c>
      <c r="D19" s="26" t="str">
        <f t="shared" si="0"/>
        <v>   </v>
      </c>
      <c r="E19" s="49">
        <f t="shared" si="1"/>
        <v>0</v>
      </c>
    </row>
    <row r="20" spans="1:5" ht="26.25" customHeight="1">
      <c r="A20" s="16" t="s">
        <v>102</v>
      </c>
      <c r="B20" s="25">
        <v>0</v>
      </c>
      <c r="C20" s="27">
        <v>0</v>
      </c>
      <c r="D20" s="26" t="str">
        <f t="shared" si="0"/>
        <v>   </v>
      </c>
      <c r="E20" s="49">
        <f t="shared" si="1"/>
        <v>0</v>
      </c>
    </row>
    <row r="21" spans="1:5" ht="17.25" customHeight="1">
      <c r="A21" s="16" t="s">
        <v>44</v>
      </c>
      <c r="B21" s="191">
        <f>B22</f>
        <v>0</v>
      </c>
      <c r="C21" s="191">
        <f>C22</f>
        <v>0</v>
      </c>
      <c r="D21" s="26" t="str">
        <f t="shared" si="0"/>
        <v>   </v>
      </c>
      <c r="E21" s="49">
        <f t="shared" si="1"/>
        <v>0</v>
      </c>
    </row>
    <row r="22" spans="1:5" ht="15.75" customHeight="1">
      <c r="A22" s="16" t="s">
        <v>182</v>
      </c>
      <c r="B22" s="25">
        <v>0</v>
      </c>
      <c r="C22" s="27">
        <v>0</v>
      </c>
      <c r="D22" s="26" t="str">
        <f t="shared" si="0"/>
        <v>   </v>
      </c>
      <c r="E22" s="49">
        <f t="shared" si="1"/>
        <v>0</v>
      </c>
    </row>
    <row r="23" spans="1:5" ht="1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4" t="s">
        <v>11</v>
      </c>
      <c r="B24" s="165">
        <f>SUM(B7,B9,B11,B14,B15,B18,B19,B22,B23,)</f>
        <v>271000</v>
      </c>
      <c r="C24" s="165">
        <f>SUM(C7,C9,C11,C14,C15,C18,C19,C22,C23,)</f>
        <v>46561.02</v>
      </c>
      <c r="D24" s="166">
        <f t="shared" si="0"/>
        <v>17.18118819188192</v>
      </c>
      <c r="E24" s="167">
        <f t="shared" si="1"/>
        <v>-224438.98</v>
      </c>
    </row>
    <row r="25" spans="1:5" ht="16.5" customHeight="1">
      <c r="A25" s="17" t="s">
        <v>46</v>
      </c>
      <c r="B25" s="24">
        <v>1199100</v>
      </c>
      <c r="C25" s="24">
        <v>260250</v>
      </c>
      <c r="D25" s="26">
        <f t="shared" si="0"/>
        <v>21.70377783337503</v>
      </c>
      <c r="E25" s="49">
        <f t="shared" si="1"/>
        <v>-938850</v>
      </c>
    </row>
    <row r="26" spans="1:5" ht="13.5" customHeight="1">
      <c r="A26" s="16" t="s">
        <v>63</v>
      </c>
      <c r="B26" s="25">
        <v>447100</v>
      </c>
      <c r="C26" s="27">
        <v>0</v>
      </c>
      <c r="D26" s="26">
        <f t="shared" si="0"/>
        <v>0</v>
      </c>
      <c r="E26" s="49">
        <f t="shared" si="1"/>
        <v>-447100</v>
      </c>
    </row>
    <row r="27" spans="1:5" ht="39" customHeight="1">
      <c r="A27" s="200" t="s">
        <v>67</v>
      </c>
      <c r="B27" s="201">
        <v>50800</v>
      </c>
      <c r="C27" s="205">
        <v>50300</v>
      </c>
      <c r="D27" s="202">
        <f t="shared" si="0"/>
        <v>99.01574803149606</v>
      </c>
      <c r="E27" s="203">
        <f t="shared" si="1"/>
        <v>-500</v>
      </c>
    </row>
    <row r="28" spans="1:5" ht="26.25" customHeight="1">
      <c r="A28" s="204" t="s">
        <v>140</v>
      </c>
      <c r="B28" s="201">
        <v>0</v>
      </c>
      <c r="C28" s="201">
        <v>0</v>
      </c>
      <c r="D28" s="202" t="str">
        <f t="shared" si="0"/>
        <v>   </v>
      </c>
      <c r="E28" s="203">
        <f t="shared" si="1"/>
        <v>0</v>
      </c>
    </row>
    <row r="29" spans="1:5" ht="27.75" customHeight="1">
      <c r="A29" s="16" t="s">
        <v>292</v>
      </c>
      <c r="B29" s="25">
        <v>307100</v>
      </c>
      <c r="C29" s="27">
        <v>0</v>
      </c>
      <c r="D29" s="26">
        <f t="shared" si="0"/>
        <v>0</v>
      </c>
      <c r="E29" s="49">
        <f t="shared" si="1"/>
        <v>-307100</v>
      </c>
    </row>
    <row r="30" spans="1:5" ht="33.75" customHeight="1">
      <c r="A30" s="200" t="s">
        <v>149</v>
      </c>
      <c r="B30" s="201">
        <v>6600</v>
      </c>
      <c r="C30" s="201">
        <v>0</v>
      </c>
      <c r="D30" s="202">
        <f t="shared" si="0"/>
        <v>0</v>
      </c>
      <c r="E30" s="203">
        <f t="shared" si="1"/>
        <v>-6600</v>
      </c>
    </row>
    <row r="31" spans="1:5" ht="16.5" customHeight="1">
      <c r="A31" s="16" t="s">
        <v>106</v>
      </c>
      <c r="B31" s="193">
        <f>B32</f>
        <v>206700</v>
      </c>
      <c r="C31" s="193">
        <f>C32</f>
        <v>0</v>
      </c>
      <c r="D31" s="26">
        <f t="shared" si="0"/>
        <v>0</v>
      </c>
      <c r="E31" s="49">
        <f t="shared" si="1"/>
        <v>-206700</v>
      </c>
    </row>
    <row r="32" spans="1:5" ht="16.5" customHeight="1">
      <c r="A32" s="16" t="s">
        <v>180</v>
      </c>
      <c r="B32" s="25">
        <v>206700</v>
      </c>
      <c r="C32" s="27">
        <v>0</v>
      </c>
      <c r="D32" s="26">
        <f t="shared" si="0"/>
        <v>0</v>
      </c>
      <c r="E32" s="49">
        <f t="shared" si="1"/>
        <v>-206700</v>
      </c>
    </row>
    <row r="33" spans="1:5" ht="54.75" customHeight="1">
      <c r="A33" s="16" t="s">
        <v>218</v>
      </c>
      <c r="B33" s="25">
        <v>0</v>
      </c>
      <c r="C33" s="27">
        <v>0</v>
      </c>
      <c r="D33" s="26" t="str">
        <f t="shared" si="0"/>
        <v>   </v>
      </c>
      <c r="E33" s="49">
        <f t="shared" si="1"/>
        <v>0</v>
      </c>
    </row>
    <row r="34" spans="1:5" ht="42.75" customHeight="1">
      <c r="A34" s="16" t="s">
        <v>154</v>
      </c>
      <c r="B34" s="25">
        <v>0</v>
      </c>
      <c r="C34" s="25">
        <v>0</v>
      </c>
      <c r="D34" s="26" t="str">
        <f t="shared" si="0"/>
        <v>   </v>
      </c>
      <c r="E34" s="49">
        <f t="shared" si="1"/>
        <v>0</v>
      </c>
    </row>
    <row r="35" spans="1:5" ht="21" customHeight="1">
      <c r="A35" s="164" t="s">
        <v>14</v>
      </c>
      <c r="B35" s="168">
        <f>SUM(B24,B25,B26:B30,B31,B33,B34,)</f>
        <v>2488400</v>
      </c>
      <c r="C35" s="168">
        <f>SUM(C24,C25,C26:C30,C31,C33,C34,)</f>
        <v>357111.02</v>
      </c>
      <c r="D35" s="166">
        <f t="shared" si="0"/>
        <v>14.351029577238386</v>
      </c>
      <c r="E35" s="167">
        <f t="shared" si="1"/>
        <v>-2131288.98</v>
      </c>
    </row>
    <row r="36" spans="1:5" ht="12.75">
      <c r="A36" s="22" t="s">
        <v>15</v>
      </c>
      <c r="B36" s="51"/>
      <c r="C36" s="52"/>
      <c r="D36" s="26" t="str">
        <f t="shared" si="0"/>
        <v>   </v>
      </c>
      <c r="E36" s="49">
        <f t="shared" si="1"/>
        <v>0</v>
      </c>
    </row>
    <row r="37" spans="1:5" ht="12.75">
      <c r="A37" s="16" t="s">
        <v>48</v>
      </c>
      <c r="B37" s="25">
        <v>755600</v>
      </c>
      <c r="C37" s="25">
        <v>105574.39</v>
      </c>
      <c r="D37" s="26">
        <f t="shared" si="0"/>
        <v>13.972259131815775</v>
      </c>
      <c r="E37" s="49">
        <f t="shared" si="1"/>
        <v>-650025.61</v>
      </c>
    </row>
    <row r="38" spans="1:5" ht="13.5" customHeight="1">
      <c r="A38" s="16" t="s">
        <v>49</v>
      </c>
      <c r="B38" s="25">
        <v>755100</v>
      </c>
      <c r="C38" s="25">
        <v>105574.39</v>
      </c>
      <c r="D38" s="26">
        <f t="shared" si="0"/>
        <v>13.981511058137993</v>
      </c>
      <c r="E38" s="49">
        <f t="shared" si="1"/>
        <v>-649525.61</v>
      </c>
    </row>
    <row r="39" spans="1:5" ht="12.75">
      <c r="A39" s="118" t="s">
        <v>208</v>
      </c>
      <c r="B39" s="25">
        <v>476900</v>
      </c>
      <c r="C39" s="28">
        <v>81330.14</v>
      </c>
      <c r="D39" s="26">
        <f t="shared" si="0"/>
        <v>17.053919060599707</v>
      </c>
      <c r="E39" s="49">
        <f t="shared" si="1"/>
        <v>-395569.86</v>
      </c>
    </row>
    <row r="40" spans="1:5" ht="12.75">
      <c r="A40" s="16" t="s">
        <v>181</v>
      </c>
      <c r="B40" s="25">
        <v>0</v>
      </c>
      <c r="C40" s="28">
        <v>0</v>
      </c>
      <c r="D40" s="26" t="str">
        <f t="shared" si="0"/>
        <v>   </v>
      </c>
      <c r="E40" s="49">
        <f t="shared" si="1"/>
        <v>0</v>
      </c>
    </row>
    <row r="41" spans="1:5" ht="12.75">
      <c r="A41" s="16" t="s">
        <v>141</v>
      </c>
      <c r="B41" s="25">
        <v>500</v>
      </c>
      <c r="C41" s="27">
        <v>0</v>
      </c>
      <c r="D41" s="26">
        <f t="shared" si="0"/>
        <v>0</v>
      </c>
      <c r="E41" s="49">
        <f t="shared" si="1"/>
        <v>-500</v>
      </c>
    </row>
    <row r="42" spans="1:5" ht="12.75">
      <c r="A42" s="16" t="s">
        <v>65</v>
      </c>
      <c r="B42" s="194">
        <f>SUM(B43)</f>
        <v>50800</v>
      </c>
      <c r="C42" s="194">
        <f>SUM(C43)</f>
        <v>6577.52</v>
      </c>
      <c r="D42" s="26">
        <f t="shared" si="0"/>
        <v>12.947874015748031</v>
      </c>
      <c r="E42" s="49">
        <f t="shared" si="1"/>
        <v>-44222.479999999996</v>
      </c>
    </row>
    <row r="43" spans="1:5" ht="24" customHeight="1">
      <c r="A43" s="42" t="s">
        <v>176</v>
      </c>
      <c r="B43" s="25">
        <v>50800</v>
      </c>
      <c r="C43" s="27">
        <v>6577.52</v>
      </c>
      <c r="D43" s="26">
        <f t="shared" si="0"/>
        <v>12.947874015748031</v>
      </c>
      <c r="E43" s="49">
        <f t="shared" si="1"/>
        <v>-44222.479999999996</v>
      </c>
    </row>
    <row r="44" spans="1:5" ht="17.25" customHeight="1">
      <c r="A44" s="16" t="s">
        <v>50</v>
      </c>
      <c r="B44" s="193">
        <f>SUM(B45)</f>
        <v>400</v>
      </c>
      <c r="C44" s="194">
        <f>SUM(C45)</f>
        <v>0</v>
      </c>
      <c r="D44" s="26">
        <f t="shared" si="0"/>
        <v>0</v>
      </c>
      <c r="E44" s="49">
        <f t="shared" si="1"/>
        <v>-400</v>
      </c>
    </row>
    <row r="45" spans="1:5" ht="27.75" customHeight="1">
      <c r="A45" s="47" t="s">
        <v>129</v>
      </c>
      <c r="B45" s="25">
        <v>400</v>
      </c>
      <c r="C45" s="27">
        <v>0</v>
      </c>
      <c r="D45" s="26">
        <f t="shared" si="0"/>
        <v>0</v>
      </c>
      <c r="E45" s="49">
        <f t="shared" si="1"/>
        <v>-400</v>
      </c>
    </row>
    <row r="46" spans="1:5" ht="12.75">
      <c r="A46" s="16" t="s">
        <v>51</v>
      </c>
      <c r="B46" s="193">
        <f>B47</f>
        <v>266700</v>
      </c>
      <c r="C46" s="193">
        <f>C47</f>
        <v>0</v>
      </c>
      <c r="D46" s="26">
        <f t="shared" si="0"/>
        <v>0</v>
      </c>
      <c r="E46" s="49">
        <f t="shared" si="1"/>
        <v>-266700</v>
      </c>
    </row>
    <row r="47" spans="1:5" ht="12.75">
      <c r="A47" s="145" t="s">
        <v>285</v>
      </c>
      <c r="B47" s="193">
        <f>B48+B49+B50</f>
        <v>266700</v>
      </c>
      <c r="C47" s="193">
        <f>C48+C49+C50</f>
        <v>0</v>
      </c>
      <c r="D47" s="26"/>
      <c r="E47" s="49"/>
    </row>
    <row r="48" spans="1:5" ht="12.75">
      <c r="A48" s="103" t="s">
        <v>326</v>
      </c>
      <c r="B48" s="193">
        <v>147300</v>
      </c>
      <c r="C48" s="193">
        <v>0</v>
      </c>
      <c r="D48" s="26"/>
      <c r="E48" s="49"/>
    </row>
    <row r="49" spans="1:5" ht="25.5">
      <c r="A49" s="91" t="s">
        <v>286</v>
      </c>
      <c r="B49" s="193">
        <v>59400</v>
      </c>
      <c r="C49" s="193">
        <f>SUM(C50)</f>
        <v>0</v>
      </c>
      <c r="D49" s="26">
        <f t="shared" si="0"/>
        <v>0</v>
      </c>
      <c r="E49" s="49">
        <f t="shared" si="1"/>
        <v>-59400</v>
      </c>
    </row>
    <row r="50" spans="1:5" ht="25.5">
      <c r="A50" s="91" t="s">
        <v>287</v>
      </c>
      <c r="B50" s="25">
        <v>60000</v>
      </c>
      <c r="C50" s="25">
        <v>0</v>
      </c>
      <c r="D50" s="26">
        <f t="shared" si="0"/>
        <v>0</v>
      </c>
      <c r="E50" s="49">
        <f t="shared" si="1"/>
        <v>-60000</v>
      </c>
    </row>
    <row r="51" spans="1:5" ht="16.5" customHeight="1">
      <c r="A51" s="16" t="s">
        <v>16</v>
      </c>
      <c r="B51" s="193">
        <f>B52+B53+B55</f>
        <v>221900</v>
      </c>
      <c r="C51" s="193">
        <f>C52+C53+C55</f>
        <v>45140.94</v>
      </c>
      <c r="D51" s="26">
        <f t="shared" si="0"/>
        <v>20.342920234339793</v>
      </c>
      <c r="E51" s="49">
        <f t="shared" si="1"/>
        <v>-176759.06</v>
      </c>
    </row>
    <row r="52" spans="1:5" ht="12.75">
      <c r="A52" s="16" t="s">
        <v>17</v>
      </c>
      <c r="B52" s="25">
        <v>0</v>
      </c>
      <c r="C52" s="25">
        <v>0</v>
      </c>
      <c r="D52" s="26" t="str">
        <f t="shared" si="0"/>
        <v>   </v>
      </c>
      <c r="E52" s="49">
        <f t="shared" si="1"/>
        <v>0</v>
      </c>
    </row>
    <row r="53" spans="1:5" ht="12.75">
      <c r="A53" s="16" t="s">
        <v>260</v>
      </c>
      <c r="B53" s="25">
        <v>0</v>
      </c>
      <c r="C53" s="25">
        <v>0</v>
      </c>
      <c r="D53" s="26"/>
      <c r="E53" s="49"/>
    </row>
    <row r="54" spans="1:5" ht="12.75">
      <c r="A54" s="16" t="s">
        <v>266</v>
      </c>
      <c r="B54" s="25">
        <v>0</v>
      </c>
      <c r="C54" s="25">
        <v>0</v>
      </c>
      <c r="D54" s="26"/>
      <c r="E54" s="49"/>
    </row>
    <row r="55" spans="1:5" ht="12.75">
      <c r="A55" s="16" t="s">
        <v>84</v>
      </c>
      <c r="B55" s="25">
        <v>221900</v>
      </c>
      <c r="C55" s="25">
        <v>45140.94</v>
      </c>
      <c r="D55" s="26">
        <f t="shared" si="0"/>
        <v>20.342920234339793</v>
      </c>
      <c r="E55" s="49">
        <f t="shared" si="1"/>
        <v>-176759.06</v>
      </c>
    </row>
    <row r="56" spans="1:5" ht="12.75">
      <c r="A56" s="16" t="s">
        <v>83</v>
      </c>
      <c r="B56" s="25">
        <v>101900</v>
      </c>
      <c r="C56" s="27">
        <v>45140.94</v>
      </c>
      <c r="D56" s="26">
        <f t="shared" si="0"/>
        <v>44.299254170755646</v>
      </c>
      <c r="E56" s="49">
        <f t="shared" si="1"/>
        <v>-56759.06</v>
      </c>
    </row>
    <row r="57" spans="1:5" ht="12.75">
      <c r="A57" s="47" t="s">
        <v>270</v>
      </c>
      <c r="B57" s="25">
        <v>120000</v>
      </c>
      <c r="C57" s="25">
        <v>0</v>
      </c>
      <c r="D57" s="26">
        <f t="shared" si="0"/>
        <v>0</v>
      </c>
      <c r="E57" s="49">
        <f t="shared" si="1"/>
        <v>-120000</v>
      </c>
    </row>
    <row r="58" spans="1:5" ht="12.75">
      <c r="A58" s="47" t="s">
        <v>155</v>
      </c>
      <c r="B58" s="25">
        <v>0</v>
      </c>
      <c r="C58" s="27">
        <v>0</v>
      </c>
      <c r="D58" s="26" t="str">
        <f t="shared" si="0"/>
        <v>   </v>
      </c>
      <c r="E58" s="49">
        <f t="shared" si="1"/>
        <v>0</v>
      </c>
    </row>
    <row r="59" spans="1:5" ht="12.75">
      <c r="A59" s="47" t="s">
        <v>327</v>
      </c>
      <c r="B59" s="25">
        <v>0</v>
      </c>
      <c r="C59" s="27">
        <v>0</v>
      </c>
      <c r="D59" s="26" t="str">
        <f t="shared" si="0"/>
        <v>   </v>
      </c>
      <c r="E59" s="49">
        <f t="shared" si="1"/>
        <v>0</v>
      </c>
    </row>
    <row r="60" spans="1:5" ht="18.75" customHeight="1">
      <c r="A60" s="18" t="s">
        <v>24</v>
      </c>
      <c r="B60" s="31">
        <v>15000</v>
      </c>
      <c r="C60" s="31">
        <v>0</v>
      </c>
      <c r="D60" s="26">
        <f t="shared" si="0"/>
        <v>0</v>
      </c>
      <c r="E60" s="49">
        <f t="shared" si="1"/>
        <v>-15000</v>
      </c>
    </row>
    <row r="61" spans="1:5" ht="17.25" customHeight="1">
      <c r="A61" s="16" t="s">
        <v>54</v>
      </c>
      <c r="B61" s="191">
        <f>B62</f>
        <v>839800</v>
      </c>
      <c r="C61" s="191">
        <f>C62</f>
        <v>152500</v>
      </c>
      <c r="D61" s="26">
        <f t="shared" si="0"/>
        <v>18.159085496546798</v>
      </c>
      <c r="E61" s="49">
        <f t="shared" si="1"/>
        <v>-687300</v>
      </c>
    </row>
    <row r="62" spans="1:5" ht="12.75">
      <c r="A62" s="16" t="s">
        <v>55</v>
      </c>
      <c r="B62" s="25">
        <v>839800</v>
      </c>
      <c r="C62" s="27">
        <v>152500</v>
      </c>
      <c r="D62" s="26">
        <f t="shared" si="0"/>
        <v>18.159085496546798</v>
      </c>
      <c r="E62" s="49">
        <f t="shared" si="1"/>
        <v>-687300</v>
      </c>
    </row>
    <row r="63" spans="1:5" ht="12.75">
      <c r="A63" s="118" t="s">
        <v>208</v>
      </c>
      <c r="B63" s="25">
        <v>0</v>
      </c>
      <c r="C63" s="27">
        <v>0</v>
      </c>
      <c r="D63" s="26" t="str">
        <f t="shared" si="0"/>
        <v>   </v>
      </c>
      <c r="E63" s="49">
        <f t="shared" si="1"/>
        <v>0</v>
      </c>
    </row>
    <row r="64" spans="1:5" ht="12.75">
      <c r="A64" s="16" t="s">
        <v>177</v>
      </c>
      <c r="B64" s="25">
        <v>6600</v>
      </c>
      <c r="C64" s="27">
        <v>0</v>
      </c>
      <c r="D64" s="26">
        <f t="shared" si="0"/>
        <v>0</v>
      </c>
      <c r="E64" s="49">
        <f t="shared" si="1"/>
        <v>-6600</v>
      </c>
    </row>
    <row r="65" spans="1:5" ht="12.75">
      <c r="A65" s="16" t="s">
        <v>214</v>
      </c>
      <c r="B65" s="193">
        <f>SUM(B66,)</f>
        <v>5000</v>
      </c>
      <c r="C65" s="193">
        <f>SUM(C66,)</f>
        <v>0</v>
      </c>
      <c r="D65" s="26">
        <f t="shared" si="0"/>
        <v>0</v>
      </c>
      <c r="E65" s="49">
        <f t="shared" si="1"/>
        <v>-5000</v>
      </c>
    </row>
    <row r="66" spans="1:5" ht="12.75">
      <c r="A66" s="16" t="s">
        <v>56</v>
      </c>
      <c r="B66" s="25">
        <v>5000</v>
      </c>
      <c r="C66" s="28">
        <v>0</v>
      </c>
      <c r="D66" s="26">
        <f t="shared" si="0"/>
        <v>0</v>
      </c>
      <c r="E66" s="49">
        <f t="shared" si="1"/>
        <v>-5000</v>
      </c>
    </row>
    <row r="67" spans="1:5" ht="18.75" customHeight="1">
      <c r="A67" s="16" t="s">
        <v>18</v>
      </c>
      <c r="B67" s="193">
        <f>B68</f>
        <v>375100</v>
      </c>
      <c r="C67" s="193">
        <f>C68</f>
        <v>0</v>
      </c>
      <c r="D67" s="26">
        <f t="shared" si="0"/>
        <v>0</v>
      </c>
      <c r="E67" s="49">
        <f t="shared" si="1"/>
        <v>-375100</v>
      </c>
    </row>
    <row r="68" spans="1:5" ht="18.75" customHeight="1">
      <c r="A68" s="16" t="s">
        <v>223</v>
      </c>
      <c r="B68" s="193">
        <f>SUM(B69,B74)</f>
        <v>375100</v>
      </c>
      <c r="C68" s="193">
        <f>SUM(C69,C74)</f>
        <v>0</v>
      </c>
      <c r="D68" s="26">
        <f t="shared" si="0"/>
        <v>0</v>
      </c>
      <c r="E68" s="49">
        <f t="shared" si="1"/>
        <v>-375100</v>
      </c>
    </row>
    <row r="69" spans="1:5" ht="18.75" customHeight="1">
      <c r="A69" s="119" t="s">
        <v>293</v>
      </c>
      <c r="B69" s="198">
        <f>SUM(B70)</f>
        <v>375100</v>
      </c>
      <c r="C69" s="198">
        <f>SUM(C70)</f>
        <v>0</v>
      </c>
      <c r="D69" s="26">
        <f t="shared" si="0"/>
        <v>0</v>
      </c>
      <c r="E69" s="49">
        <f t="shared" si="1"/>
        <v>-375100</v>
      </c>
    </row>
    <row r="70" spans="1:5" ht="27" customHeight="1">
      <c r="A70" s="16" t="s">
        <v>294</v>
      </c>
      <c r="B70" s="193">
        <f>SUM(B71:B73)</f>
        <v>375100</v>
      </c>
      <c r="C70" s="193">
        <f>SUM(C71:C73)</f>
        <v>0</v>
      </c>
      <c r="D70" s="26">
        <f t="shared" si="0"/>
        <v>0</v>
      </c>
      <c r="E70" s="49">
        <f t="shared" si="1"/>
        <v>-375100</v>
      </c>
    </row>
    <row r="71" spans="1:5" ht="15" customHeight="1">
      <c r="A71" s="47" t="s">
        <v>233</v>
      </c>
      <c r="B71" s="25">
        <v>0</v>
      </c>
      <c r="C71" s="25">
        <v>0</v>
      </c>
      <c r="D71" s="26" t="str">
        <f t="shared" si="0"/>
        <v>   </v>
      </c>
      <c r="E71" s="49">
        <f t="shared" si="1"/>
        <v>0</v>
      </c>
    </row>
    <row r="72" spans="1:5" ht="13.5" customHeight="1">
      <c r="A72" s="47" t="s">
        <v>234</v>
      </c>
      <c r="B72" s="25">
        <v>307100</v>
      </c>
      <c r="C72" s="25">
        <v>0</v>
      </c>
      <c r="D72" s="26">
        <f>IF(B72=0,"   ",C72/B72*100)</f>
        <v>0</v>
      </c>
      <c r="E72" s="49">
        <f t="shared" si="1"/>
        <v>-307100</v>
      </c>
    </row>
    <row r="73" spans="1:5" ht="12.75" customHeight="1">
      <c r="A73" s="47" t="s">
        <v>235</v>
      </c>
      <c r="B73" s="25">
        <v>68000</v>
      </c>
      <c r="C73" s="25">
        <v>0</v>
      </c>
      <c r="D73" s="26">
        <f>IF(B73=0,"   ",C73/B73*100)</f>
        <v>0</v>
      </c>
      <c r="E73" s="49">
        <f t="shared" si="1"/>
        <v>-68000</v>
      </c>
    </row>
    <row r="74" spans="1:5" ht="42.75" customHeight="1">
      <c r="A74" s="119" t="s">
        <v>228</v>
      </c>
      <c r="B74" s="120">
        <v>0</v>
      </c>
      <c r="C74" s="120">
        <v>0</v>
      </c>
      <c r="D74" s="26" t="str">
        <f>IF(B74=0,"   ",C74/B74*100)</f>
        <v>   </v>
      </c>
      <c r="E74" s="49">
        <f t="shared" si="1"/>
        <v>0</v>
      </c>
    </row>
    <row r="75" spans="1:5" ht="21" customHeight="1">
      <c r="A75" s="164" t="s">
        <v>19</v>
      </c>
      <c r="B75" s="168">
        <f>SUM(B37,B42,B44,B46,B51,B60,B61,B65,B67,)</f>
        <v>2530300</v>
      </c>
      <c r="C75" s="168">
        <f>SUM(C37,C42,C44,C46,C51,C60,C61,C65,C67,)</f>
        <v>309792.85</v>
      </c>
      <c r="D75" s="166">
        <f>IF(B75=0,"   ",C75/B75*100)</f>
        <v>12.243324902185512</v>
      </c>
      <c r="E75" s="167">
        <f t="shared" si="1"/>
        <v>-2220507.15</v>
      </c>
    </row>
    <row r="76" spans="1:5" ht="18.75" customHeight="1" thickBot="1">
      <c r="A76" s="98" t="s">
        <v>210</v>
      </c>
      <c r="B76" s="212">
        <f>B39+B63</f>
        <v>476900</v>
      </c>
      <c r="C76" s="212">
        <f>C39+C63</f>
        <v>81330.14</v>
      </c>
      <c r="D76" s="99">
        <f>IF(B76=0,"   ",C76/B76*100)</f>
        <v>17.053919060599707</v>
      </c>
      <c r="E76" s="100">
        <f t="shared" si="1"/>
        <v>-395569.86</v>
      </c>
    </row>
    <row r="77" spans="1:5" s="76" customFormat="1" ht="23.25" customHeight="1">
      <c r="A77" s="110" t="s">
        <v>249</v>
      </c>
      <c r="B77" s="110"/>
      <c r="C77" s="250"/>
      <c r="D77" s="250"/>
      <c r="E77" s="250"/>
    </row>
    <row r="78" spans="1:5" s="76" customFormat="1" ht="12" customHeight="1">
      <c r="A78" s="110" t="s">
        <v>248</v>
      </c>
      <c r="B78" s="110"/>
      <c r="C78" s="111" t="s">
        <v>250</v>
      </c>
      <c r="D78" s="112"/>
      <c r="E78" s="113"/>
    </row>
    <row r="79" spans="1:5" ht="12.75">
      <c r="A79" s="7"/>
      <c r="B79" s="7"/>
      <c r="C79" s="6"/>
      <c r="D79" s="7"/>
      <c r="E79" s="2"/>
    </row>
    <row r="80" spans="1:5" ht="12.75">
      <c r="A80" s="7"/>
      <c r="B80" s="7"/>
      <c r="C80" s="6"/>
      <c r="D80" s="7"/>
      <c r="E80" s="2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</sheetData>
  <mergeCells count="2">
    <mergeCell ref="A1:E1"/>
    <mergeCell ref="C77:E77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80">
      <selection activeCell="C94" sqref="C94"/>
    </sheetView>
  </sheetViews>
  <sheetFormatPr defaultColWidth="9.00390625" defaultRowHeight="12.75"/>
  <cols>
    <col min="1" max="1" width="77.375" style="0" customWidth="1"/>
    <col min="2" max="2" width="18.375" style="0" customWidth="1"/>
    <col min="3" max="3" width="20.25390625" style="0" customWidth="1"/>
    <col min="4" max="4" width="18.375" style="0" customWidth="1"/>
    <col min="5" max="5" width="20.125" style="0" customWidth="1"/>
  </cols>
  <sheetData>
    <row r="1" spans="1:5" ht="18">
      <c r="A1" s="252" t="s">
        <v>310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5" t="s">
        <v>1</v>
      </c>
      <c r="B4" s="19" t="s">
        <v>282</v>
      </c>
      <c r="C4" s="32" t="s">
        <v>307</v>
      </c>
      <c r="D4" s="19" t="s">
        <v>274</v>
      </c>
      <c r="E4" s="101" t="s">
        <v>295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6713400</v>
      </c>
      <c r="C7" s="191">
        <f>SUM(C8)</f>
        <v>1226361.92</v>
      </c>
      <c r="D7" s="26">
        <f aca="true" t="shared" si="0" ref="D7:D73">IF(B7=0,"   ",C7/B7*100)</f>
        <v>18.267374504721896</v>
      </c>
      <c r="E7" s="49">
        <f aca="true" t="shared" si="1" ref="E7:E96">C7-B7</f>
        <v>-5487038.08</v>
      </c>
    </row>
    <row r="8" spans="1:5" ht="12.75">
      <c r="A8" s="16" t="s">
        <v>57</v>
      </c>
      <c r="B8" s="25">
        <v>6713400</v>
      </c>
      <c r="C8" s="27">
        <v>1226361.92</v>
      </c>
      <c r="D8" s="26">
        <f t="shared" si="0"/>
        <v>18.267374504721896</v>
      </c>
      <c r="E8" s="49">
        <f t="shared" si="1"/>
        <v>-5487038.08</v>
      </c>
    </row>
    <row r="9" spans="1:5" ht="12.75">
      <c r="A9" s="16" t="s">
        <v>7</v>
      </c>
      <c r="B9" s="193">
        <f>SUM(B10:B10)</f>
        <v>12200</v>
      </c>
      <c r="C9" s="191">
        <f>SUM(C10)</f>
        <v>0</v>
      </c>
      <c r="D9" s="26">
        <f t="shared" si="0"/>
        <v>0</v>
      </c>
      <c r="E9" s="49">
        <f t="shared" si="1"/>
        <v>-12200</v>
      </c>
    </row>
    <row r="10" spans="1:5" ht="12.75">
      <c r="A10" s="16" t="s">
        <v>38</v>
      </c>
      <c r="B10" s="25">
        <v>12200</v>
      </c>
      <c r="C10" s="27">
        <v>0</v>
      </c>
      <c r="D10" s="26">
        <f t="shared" si="0"/>
        <v>0</v>
      </c>
      <c r="E10" s="49">
        <f t="shared" si="1"/>
        <v>-12200</v>
      </c>
    </row>
    <row r="11" spans="1:5" ht="12.75">
      <c r="A11" s="16" t="s">
        <v>9</v>
      </c>
      <c r="B11" s="193">
        <f>SUM(B12:B13)</f>
        <v>3548100</v>
      </c>
      <c r="C11" s="193">
        <f>SUM(C12:C13)</f>
        <v>515511.79</v>
      </c>
      <c r="D11" s="26">
        <f t="shared" si="0"/>
        <v>14.529235083565853</v>
      </c>
      <c r="E11" s="49">
        <f t="shared" si="1"/>
        <v>-3032588.21</v>
      </c>
    </row>
    <row r="12" spans="1:5" ht="12.75">
      <c r="A12" s="16" t="s">
        <v>39</v>
      </c>
      <c r="B12" s="25">
        <v>417000</v>
      </c>
      <c r="C12" s="27">
        <v>12477.13</v>
      </c>
      <c r="D12" s="26">
        <f t="shared" si="0"/>
        <v>2.992117505995204</v>
      </c>
      <c r="E12" s="49">
        <f t="shared" si="1"/>
        <v>-404522.87</v>
      </c>
    </row>
    <row r="13" spans="1:5" ht="12.75">
      <c r="A13" s="16" t="s">
        <v>10</v>
      </c>
      <c r="B13" s="25">
        <v>3131100</v>
      </c>
      <c r="C13" s="27">
        <v>503034.66</v>
      </c>
      <c r="D13" s="26">
        <f t="shared" si="0"/>
        <v>16.06574877838459</v>
      </c>
      <c r="E13" s="49">
        <f t="shared" si="1"/>
        <v>-2628065.34</v>
      </c>
    </row>
    <row r="14" spans="1:5" ht="25.5">
      <c r="A14" s="16" t="s">
        <v>127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7" customHeight="1">
      <c r="A15" s="16" t="s">
        <v>40</v>
      </c>
      <c r="B15" s="193">
        <f>SUM(B16:B17)</f>
        <v>706100</v>
      </c>
      <c r="C15" s="193">
        <f>SUM(C16:C17)</f>
        <v>110875.20999999999</v>
      </c>
      <c r="D15" s="26">
        <f t="shared" si="0"/>
        <v>15.702479818722558</v>
      </c>
      <c r="E15" s="49">
        <f t="shared" si="1"/>
        <v>-595224.79</v>
      </c>
    </row>
    <row r="16" spans="1:5" ht="12.75">
      <c r="A16" s="119" t="s">
        <v>41</v>
      </c>
      <c r="B16" s="25">
        <v>402600</v>
      </c>
      <c r="C16" s="27">
        <v>79427.93</v>
      </c>
      <c r="D16" s="26">
        <f t="shared" si="0"/>
        <v>19.72874565325385</v>
      </c>
      <c r="E16" s="49">
        <f t="shared" si="1"/>
        <v>-323172.07</v>
      </c>
    </row>
    <row r="17" spans="1:5" ht="24" customHeight="1">
      <c r="A17" s="16" t="s">
        <v>42</v>
      </c>
      <c r="B17" s="25">
        <v>303500</v>
      </c>
      <c r="C17" s="27">
        <v>31447.28</v>
      </c>
      <c r="D17" s="26">
        <f t="shared" si="0"/>
        <v>10.361542009884678</v>
      </c>
      <c r="E17" s="49">
        <f t="shared" si="1"/>
        <v>-272052.72</v>
      </c>
    </row>
    <row r="18" spans="1:5" ht="15.75" customHeight="1">
      <c r="A18" s="16" t="s">
        <v>101</v>
      </c>
      <c r="B18" s="193">
        <v>0</v>
      </c>
      <c r="C18" s="193">
        <f>SUM(C19)</f>
        <v>188404.15</v>
      </c>
      <c r="D18" s="26" t="str">
        <f t="shared" si="0"/>
        <v>   </v>
      </c>
      <c r="E18" s="49">
        <f t="shared" si="1"/>
        <v>188404.15</v>
      </c>
    </row>
    <row r="19" spans="1:5" ht="25.5" customHeight="1">
      <c r="A19" s="16" t="s">
        <v>102</v>
      </c>
      <c r="B19" s="25">
        <v>0</v>
      </c>
      <c r="C19" s="27">
        <v>188404.15</v>
      </c>
      <c r="D19" s="26" t="str">
        <f t="shared" si="0"/>
        <v>   </v>
      </c>
      <c r="E19" s="49">
        <f t="shared" si="1"/>
        <v>188404.15</v>
      </c>
    </row>
    <row r="20" spans="1:5" ht="30" customHeight="1">
      <c r="A20" s="16" t="s">
        <v>113</v>
      </c>
      <c r="B20" s="193">
        <f>B21</f>
        <v>0</v>
      </c>
      <c r="C20" s="193">
        <f>C21</f>
        <v>0</v>
      </c>
      <c r="D20" s="26" t="str">
        <f t="shared" si="0"/>
        <v>   </v>
      </c>
      <c r="E20" s="49">
        <f t="shared" si="1"/>
        <v>0</v>
      </c>
    </row>
    <row r="21" spans="1:5" ht="30" customHeight="1">
      <c r="A21" s="16" t="s">
        <v>114</v>
      </c>
      <c r="B21" s="25">
        <v>0</v>
      </c>
      <c r="C21" s="27">
        <v>0</v>
      </c>
      <c r="D21" s="26" t="str">
        <f t="shared" si="0"/>
        <v>   </v>
      </c>
      <c r="E21" s="49">
        <f t="shared" si="1"/>
        <v>0</v>
      </c>
    </row>
    <row r="22" spans="1:5" ht="12.75">
      <c r="A22" s="16" t="s">
        <v>44</v>
      </c>
      <c r="B22" s="193">
        <f>B23+B24</f>
        <v>0</v>
      </c>
      <c r="C22" s="193">
        <f>C23+C24</f>
        <v>33147.75</v>
      </c>
      <c r="D22" s="26" t="str">
        <f t="shared" si="0"/>
        <v>   </v>
      </c>
      <c r="E22" s="49">
        <f t="shared" si="1"/>
        <v>33147.75</v>
      </c>
    </row>
    <row r="23" spans="1:5" ht="13.5" customHeight="1">
      <c r="A23" s="16" t="s">
        <v>59</v>
      </c>
      <c r="B23" s="25">
        <v>0</v>
      </c>
      <c r="C23" s="25">
        <v>6319.78</v>
      </c>
      <c r="D23" s="26" t="str">
        <f t="shared" si="0"/>
        <v>   </v>
      </c>
      <c r="E23" s="49">
        <f t="shared" si="1"/>
        <v>6319.78</v>
      </c>
    </row>
    <row r="24" spans="1:5" ht="15.75" customHeight="1">
      <c r="A24" s="16" t="s">
        <v>182</v>
      </c>
      <c r="B24" s="25">
        <v>0</v>
      </c>
      <c r="C24" s="27">
        <v>26827.97</v>
      </c>
      <c r="D24" s="26" t="str">
        <f t="shared" si="0"/>
        <v>   </v>
      </c>
      <c r="E24" s="49">
        <f t="shared" si="1"/>
        <v>26827.97</v>
      </c>
    </row>
    <row r="25" spans="1:5" ht="13.5" customHeight="1">
      <c r="A25" s="16" t="s">
        <v>43</v>
      </c>
      <c r="B25" s="25">
        <v>0</v>
      </c>
      <c r="C25" s="25">
        <v>0</v>
      </c>
      <c r="D25" s="26" t="str">
        <f t="shared" si="0"/>
        <v>   </v>
      </c>
      <c r="E25" s="49">
        <f t="shared" si="1"/>
        <v>0</v>
      </c>
    </row>
    <row r="26" spans="1:5" ht="15" customHeight="1">
      <c r="A26" s="164" t="s">
        <v>11</v>
      </c>
      <c r="B26" s="165">
        <f>SUM(B7,B9,B11,B15,B18,B20,B22,+B25+B19)</f>
        <v>10979800</v>
      </c>
      <c r="C26" s="165">
        <f>SUM(C7,C9,C11,C14,C15,C18,C20,C22,C25,)</f>
        <v>2074300.8199999998</v>
      </c>
      <c r="D26" s="166">
        <f t="shared" si="0"/>
        <v>18.891972713528478</v>
      </c>
      <c r="E26" s="167">
        <f t="shared" si="1"/>
        <v>-8905499.18</v>
      </c>
    </row>
    <row r="27" spans="1:5" ht="15" customHeight="1">
      <c r="A27" s="17" t="s">
        <v>46</v>
      </c>
      <c r="B27" s="24">
        <v>6011600</v>
      </c>
      <c r="C27" s="24">
        <v>1360300</v>
      </c>
      <c r="D27" s="26">
        <f t="shared" si="0"/>
        <v>22.627919355911903</v>
      </c>
      <c r="E27" s="49">
        <f t="shared" si="1"/>
        <v>-4651300</v>
      </c>
    </row>
    <row r="28" spans="1:5" ht="26.25" customHeight="1">
      <c r="A28" s="16" t="s">
        <v>63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39" customHeight="1">
      <c r="A29" s="200" t="s">
        <v>67</v>
      </c>
      <c r="B29" s="201">
        <v>253700</v>
      </c>
      <c r="C29" s="205">
        <v>251400</v>
      </c>
      <c r="D29" s="202">
        <f t="shared" si="0"/>
        <v>99.09341742215216</v>
      </c>
      <c r="E29" s="203">
        <f t="shared" si="1"/>
        <v>-2300</v>
      </c>
    </row>
    <row r="30" spans="1:5" ht="53.25" customHeight="1">
      <c r="A30" s="16" t="s">
        <v>220</v>
      </c>
      <c r="B30" s="25">
        <v>0</v>
      </c>
      <c r="C30" s="25">
        <v>0</v>
      </c>
      <c r="D30" s="26" t="str">
        <f t="shared" si="0"/>
        <v>   </v>
      </c>
      <c r="E30" s="49">
        <f t="shared" si="1"/>
        <v>0</v>
      </c>
    </row>
    <row r="31" spans="1:5" ht="25.5" customHeight="1">
      <c r="A31" s="16" t="s">
        <v>68</v>
      </c>
      <c r="B31" s="25">
        <v>600</v>
      </c>
      <c r="C31" s="25">
        <v>0</v>
      </c>
      <c r="D31" s="26">
        <f t="shared" si="0"/>
        <v>0</v>
      </c>
      <c r="E31" s="49">
        <f t="shared" si="1"/>
        <v>-600</v>
      </c>
    </row>
    <row r="32" spans="1:5" ht="27.75" customHeight="1">
      <c r="A32" s="16" t="s">
        <v>134</v>
      </c>
      <c r="B32" s="193">
        <f>SUM(B33,B36)</f>
        <v>6600</v>
      </c>
      <c r="C32" s="193">
        <f>SUM(C33,C36)</f>
        <v>0</v>
      </c>
      <c r="D32" s="26">
        <f t="shared" si="0"/>
        <v>0</v>
      </c>
      <c r="E32" s="49">
        <f t="shared" si="1"/>
        <v>-6600</v>
      </c>
    </row>
    <row r="33" spans="1:5" ht="42" customHeight="1">
      <c r="A33" s="16" t="s">
        <v>209</v>
      </c>
      <c r="B33" s="25">
        <v>0</v>
      </c>
      <c r="C33" s="27">
        <v>0</v>
      </c>
      <c r="D33" s="26"/>
      <c r="E33" s="49"/>
    </row>
    <row r="34" spans="1:5" ht="30" customHeight="1">
      <c r="A34" s="16" t="s">
        <v>74</v>
      </c>
      <c r="B34" s="25">
        <v>1740580</v>
      </c>
      <c r="C34" s="27">
        <v>0</v>
      </c>
      <c r="D34" s="26">
        <f t="shared" si="0"/>
        <v>0</v>
      </c>
      <c r="E34" s="49">
        <f t="shared" si="1"/>
        <v>-1740580</v>
      </c>
    </row>
    <row r="35" spans="1:5" ht="30" customHeight="1">
      <c r="A35" s="16" t="s">
        <v>261</v>
      </c>
      <c r="B35" s="25">
        <v>0</v>
      </c>
      <c r="C35" s="27">
        <v>0</v>
      </c>
      <c r="D35" s="26"/>
      <c r="E35" s="49"/>
    </row>
    <row r="36" spans="1:5" ht="39" customHeight="1">
      <c r="A36" s="200" t="s">
        <v>149</v>
      </c>
      <c r="B36" s="201">
        <v>6600</v>
      </c>
      <c r="C36" s="201">
        <v>0</v>
      </c>
      <c r="D36" s="202">
        <f t="shared" si="0"/>
        <v>0</v>
      </c>
      <c r="E36" s="203">
        <f t="shared" si="1"/>
        <v>-6600</v>
      </c>
    </row>
    <row r="37" spans="1:5" ht="18.75" customHeight="1">
      <c r="A37" s="16" t="s">
        <v>72</v>
      </c>
      <c r="B37" s="25">
        <v>2679700</v>
      </c>
      <c r="C37" s="27">
        <v>0</v>
      </c>
      <c r="D37" s="26">
        <f t="shared" si="0"/>
        <v>0</v>
      </c>
      <c r="E37" s="49">
        <f t="shared" si="1"/>
        <v>-2679700</v>
      </c>
    </row>
    <row r="38" spans="1:5" ht="24" customHeight="1">
      <c r="A38" s="164" t="s">
        <v>14</v>
      </c>
      <c r="B38" s="168">
        <f>B26+B27+B32+B30+B34+B35+B29+B31+B37</f>
        <v>21672580</v>
      </c>
      <c r="C38" s="168">
        <f>C26+C27+C29+C31+C32+C30+C34+C35+C37</f>
        <v>3686000.82</v>
      </c>
      <c r="D38" s="166">
        <f t="shared" si="0"/>
        <v>17.00766969137961</v>
      </c>
      <c r="E38" s="167">
        <f t="shared" si="1"/>
        <v>-17986579.18</v>
      </c>
    </row>
    <row r="39" spans="1:5" ht="16.5" customHeight="1">
      <c r="A39" s="30" t="s">
        <v>64</v>
      </c>
      <c r="B39" s="24"/>
      <c r="C39" s="25"/>
      <c r="D39" s="26" t="str">
        <f t="shared" si="0"/>
        <v>   </v>
      </c>
      <c r="E39" s="49"/>
    </row>
    <row r="40" spans="1:5" ht="12.75">
      <c r="A40" s="22" t="s">
        <v>15</v>
      </c>
      <c r="B40" s="51"/>
      <c r="C40" s="52"/>
      <c r="D40" s="26" t="str">
        <f t="shared" si="0"/>
        <v>   </v>
      </c>
      <c r="E40" s="49"/>
    </row>
    <row r="41" spans="1:5" ht="12.75">
      <c r="A41" s="16" t="s">
        <v>48</v>
      </c>
      <c r="B41" s="25">
        <v>2421160</v>
      </c>
      <c r="C41" s="25">
        <v>380169.13</v>
      </c>
      <c r="D41" s="26">
        <f t="shared" si="0"/>
        <v>15.701941631284178</v>
      </c>
      <c r="E41" s="49">
        <f t="shared" si="1"/>
        <v>-2040990.87</v>
      </c>
    </row>
    <row r="42" spans="1:5" ht="16.5" customHeight="1">
      <c r="A42" s="16" t="s">
        <v>49</v>
      </c>
      <c r="B42" s="25">
        <v>1891160</v>
      </c>
      <c r="C42" s="27">
        <v>345761.75</v>
      </c>
      <c r="D42" s="26">
        <f t="shared" si="0"/>
        <v>18.283051143213687</v>
      </c>
      <c r="E42" s="49">
        <f t="shared" si="1"/>
        <v>-1545398.25</v>
      </c>
    </row>
    <row r="43" spans="1:5" ht="12.75">
      <c r="A43" s="118" t="s">
        <v>207</v>
      </c>
      <c r="B43" s="25">
        <v>1236978</v>
      </c>
      <c r="C43" s="127">
        <v>231600.31</v>
      </c>
      <c r="D43" s="26">
        <f t="shared" si="0"/>
        <v>18.72307429881534</v>
      </c>
      <c r="E43" s="49">
        <f t="shared" si="1"/>
        <v>-1005377.69</v>
      </c>
    </row>
    <row r="44" spans="1:5" ht="12.75">
      <c r="A44" s="16" t="s">
        <v>181</v>
      </c>
      <c r="B44" s="25">
        <v>600</v>
      </c>
      <c r="C44" s="28">
        <v>0</v>
      </c>
      <c r="D44" s="26">
        <f t="shared" si="0"/>
        <v>0</v>
      </c>
      <c r="E44" s="49">
        <f t="shared" si="1"/>
        <v>-600</v>
      </c>
    </row>
    <row r="45" spans="1:5" ht="12.75">
      <c r="A45" s="16" t="s">
        <v>262</v>
      </c>
      <c r="B45" s="25">
        <v>0</v>
      </c>
      <c r="C45" s="28">
        <v>0</v>
      </c>
      <c r="D45" s="26" t="str">
        <f t="shared" si="0"/>
        <v>   </v>
      </c>
      <c r="E45" s="49">
        <f t="shared" si="1"/>
        <v>0</v>
      </c>
    </row>
    <row r="46" spans="1:5" ht="12.75">
      <c r="A46" s="16" t="s">
        <v>141</v>
      </c>
      <c r="B46" s="25">
        <v>15000</v>
      </c>
      <c r="C46" s="28">
        <v>0</v>
      </c>
      <c r="D46" s="26">
        <f t="shared" si="0"/>
        <v>0</v>
      </c>
      <c r="E46" s="49">
        <f t="shared" si="1"/>
        <v>-15000</v>
      </c>
    </row>
    <row r="47" spans="1:5" ht="12.75">
      <c r="A47" s="16" t="s">
        <v>69</v>
      </c>
      <c r="B47" s="193">
        <f>SUM(B48,B49)</f>
        <v>515000</v>
      </c>
      <c r="C47" s="193">
        <f>SUM(C48,C49)</f>
        <v>34407.38</v>
      </c>
      <c r="D47" s="26">
        <f t="shared" si="0"/>
        <v>6.681044660194174</v>
      </c>
      <c r="E47" s="49">
        <f t="shared" si="1"/>
        <v>-480592.62</v>
      </c>
    </row>
    <row r="48" spans="1:5" ht="25.5">
      <c r="A48" s="16" t="s">
        <v>85</v>
      </c>
      <c r="B48" s="25">
        <v>115000</v>
      </c>
      <c r="C48" s="25">
        <v>34407.38</v>
      </c>
      <c r="D48" s="26">
        <f t="shared" si="0"/>
        <v>29.919460869565217</v>
      </c>
      <c r="E48" s="49">
        <f t="shared" si="1"/>
        <v>-80592.62</v>
      </c>
    </row>
    <row r="49" spans="1:5" ht="12.75">
      <c r="A49" s="16" t="s">
        <v>296</v>
      </c>
      <c r="B49" s="25">
        <v>400000</v>
      </c>
      <c r="C49" s="25">
        <v>0</v>
      </c>
      <c r="D49" s="26">
        <f t="shared" si="0"/>
        <v>0</v>
      </c>
      <c r="E49" s="49">
        <f t="shared" si="1"/>
        <v>-400000</v>
      </c>
    </row>
    <row r="50" spans="1:5" ht="12.75">
      <c r="A50" s="16" t="s">
        <v>65</v>
      </c>
      <c r="B50" s="194">
        <f>SUM(B51)</f>
        <v>253700</v>
      </c>
      <c r="C50" s="194">
        <f>SUM(C51)</f>
        <v>37364.97</v>
      </c>
      <c r="D50" s="26">
        <f t="shared" si="0"/>
        <v>14.728013401655499</v>
      </c>
      <c r="E50" s="49">
        <f t="shared" si="1"/>
        <v>-216335.03</v>
      </c>
    </row>
    <row r="51" spans="1:5" ht="27" customHeight="1">
      <c r="A51" s="16" t="s">
        <v>176</v>
      </c>
      <c r="B51" s="25">
        <v>253700</v>
      </c>
      <c r="C51" s="27">
        <v>37364.97</v>
      </c>
      <c r="D51" s="26">
        <f t="shared" si="0"/>
        <v>14.728013401655499</v>
      </c>
      <c r="E51" s="49">
        <f t="shared" si="1"/>
        <v>-216335.03</v>
      </c>
    </row>
    <row r="52" spans="1:5" ht="18.75" customHeight="1">
      <c r="A52" s="16" t="s">
        <v>50</v>
      </c>
      <c r="B52" s="116">
        <v>251600</v>
      </c>
      <c r="C52" s="25">
        <v>29989.67</v>
      </c>
      <c r="D52" s="26">
        <f t="shared" si="0"/>
        <v>11.9195826709062</v>
      </c>
      <c r="E52" s="49">
        <f t="shared" si="1"/>
        <v>-221610.33000000002</v>
      </c>
    </row>
    <row r="53" spans="1:5" ht="27" customHeight="1">
      <c r="A53" s="16" t="s">
        <v>124</v>
      </c>
      <c r="B53" s="116">
        <v>188600</v>
      </c>
      <c r="C53" s="25">
        <v>29989.67</v>
      </c>
      <c r="D53" s="26">
        <f t="shared" si="0"/>
        <v>15.901203605514317</v>
      </c>
      <c r="E53" s="49">
        <f t="shared" si="1"/>
        <v>-158610.33000000002</v>
      </c>
    </row>
    <row r="54" spans="1:5" ht="16.5" customHeight="1">
      <c r="A54" s="16" t="s">
        <v>142</v>
      </c>
      <c r="B54" s="116">
        <v>180000</v>
      </c>
      <c r="C54" s="25">
        <v>15494.84</v>
      </c>
      <c r="D54" s="58">
        <f t="shared" si="0"/>
        <v>8.608244444444445</v>
      </c>
      <c r="E54" s="59">
        <f t="shared" si="1"/>
        <v>-164505.16</v>
      </c>
    </row>
    <row r="55" spans="1:5" ht="14.25" customHeight="1">
      <c r="A55" s="16" t="s">
        <v>207</v>
      </c>
      <c r="B55" s="116">
        <v>129926</v>
      </c>
      <c r="C55" s="27">
        <v>22265.44</v>
      </c>
      <c r="D55" s="26">
        <f t="shared" si="0"/>
        <v>17.137016455520833</v>
      </c>
      <c r="E55" s="49">
        <f t="shared" si="1"/>
        <v>-107660.56</v>
      </c>
    </row>
    <row r="56" spans="1:5" ht="17.25" customHeight="1">
      <c r="A56" s="16" t="s">
        <v>241</v>
      </c>
      <c r="B56" s="116">
        <v>63000</v>
      </c>
      <c r="C56" s="60">
        <v>0</v>
      </c>
      <c r="D56" s="58">
        <f t="shared" si="0"/>
        <v>0</v>
      </c>
      <c r="E56" s="59">
        <f t="shared" si="1"/>
        <v>-63000</v>
      </c>
    </row>
    <row r="57" spans="1:5" ht="12.75">
      <c r="A57" s="16" t="s">
        <v>51</v>
      </c>
      <c r="B57" s="25">
        <f>B58</f>
        <v>3679700</v>
      </c>
      <c r="C57" s="25">
        <f>C58</f>
        <v>265364.8</v>
      </c>
      <c r="D57" s="26">
        <f t="shared" si="0"/>
        <v>7.211587901187596</v>
      </c>
      <c r="E57" s="49">
        <f t="shared" si="1"/>
        <v>-3414335.2</v>
      </c>
    </row>
    <row r="58" spans="1:5" ht="12.75">
      <c r="A58" s="145" t="s">
        <v>285</v>
      </c>
      <c r="B58" s="25">
        <f>B59+B60+B61</f>
        <v>3679700</v>
      </c>
      <c r="C58" s="25">
        <f>C59+C60+C61</f>
        <v>265364.8</v>
      </c>
      <c r="D58" s="26">
        <f t="shared" si="0"/>
        <v>7.211587901187596</v>
      </c>
      <c r="E58" s="49">
        <f t="shared" si="1"/>
        <v>-3414335.2</v>
      </c>
    </row>
    <row r="59" spans="1:5" ht="25.5">
      <c r="A59" s="103" t="s">
        <v>328</v>
      </c>
      <c r="B59" s="25">
        <v>1909000</v>
      </c>
      <c r="C59" s="25">
        <v>0</v>
      </c>
      <c r="D59" s="26"/>
      <c r="E59" s="49"/>
    </row>
    <row r="60" spans="1:5" ht="25.5">
      <c r="A60" s="91" t="s">
        <v>286</v>
      </c>
      <c r="B60" s="25">
        <v>770700</v>
      </c>
      <c r="C60" s="25">
        <v>0</v>
      </c>
      <c r="D60" s="26"/>
      <c r="E60" s="49"/>
    </row>
    <row r="61" spans="1:5" ht="14.25" customHeight="1">
      <c r="A61" s="91" t="s">
        <v>287</v>
      </c>
      <c r="B61" s="25">
        <v>1000000</v>
      </c>
      <c r="C61" s="25">
        <v>265364.8</v>
      </c>
      <c r="D61" s="26">
        <f t="shared" si="0"/>
        <v>26.53648</v>
      </c>
      <c r="E61" s="49">
        <f t="shared" si="1"/>
        <v>-734635.2</v>
      </c>
    </row>
    <row r="62" spans="1:5" ht="14.25" customHeight="1">
      <c r="A62" s="16" t="s">
        <v>16</v>
      </c>
      <c r="B62" s="193">
        <f>SUM(B63,B67,B72)</f>
        <v>6308740</v>
      </c>
      <c r="C62" s="193">
        <f>SUM(C63,C67,C72)</f>
        <v>1127107.54</v>
      </c>
      <c r="D62" s="26">
        <f t="shared" si="0"/>
        <v>17.865810605604292</v>
      </c>
      <c r="E62" s="49">
        <f t="shared" si="1"/>
        <v>-5181632.46</v>
      </c>
    </row>
    <row r="63" spans="1:5" ht="12.75">
      <c r="A63" s="119" t="s">
        <v>17</v>
      </c>
      <c r="B63" s="198">
        <f>SUM(B64:B66)</f>
        <v>554400</v>
      </c>
      <c r="C63" s="198">
        <f>SUM(C64:C66)</f>
        <v>39382.48</v>
      </c>
      <c r="D63" s="26">
        <f t="shared" si="0"/>
        <v>7.103621933621934</v>
      </c>
      <c r="E63" s="49">
        <f t="shared" si="1"/>
        <v>-515017.52</v>
      </c>
    </row>
    <row r="64" spans="1:5" ht="12.75">
      <c r="A64" s="16" t="s">
        <v>147</v>
      </c>
      <c r="B64" s="25">
        <v>554400</v>
      </c>
      <c r="C64" s="27">
        <v>39382.48</v>
      </c>
      <c r="D64" s="26">
        <f t="shared" si="0"/>
        <v>7.103621933621934</v>
      </c>
      <c r="E64" s="49">
        <f t="shared" si="1"/>
        <v>-515017.52</v>
      </c>
    </row>
    <row r="65" spans="1:5" ht="25.5">
      <c r="A65" s="16" t="s">
        <v>242</v>
      </c>
      <c r="B65" s="25">
        <v>0</v>
      </c>
      <c r="C65" s="27">
        <v>0</v>
      </c>
      <c r="D65" s="26" t="str">
        <f t="shared" si="0"/>
        <v>   </v>
      </c>
      <c r="E65" s="49">
        <f t="shared" si="1"/>
        <v>0</v>
      </c>
    </row>
    <row r="66" spans="1:5" ht="12.75">
      <c r="A66" s="16" t="s">
        <v>137</v>
      </c>
      <c r="B66" s="25">
        <v>0</v>
      </c>
      <c r="C66" s="27">
        <v>0</v>
      </c>
      <c r="D66" s="26" t="str">
        <f t="shared" si="0"/>
        <v>   </v>
      </c>
      <c r="E66" s="49">
        <f t="shared" si="1"/>
        <v>0</v>
      </c>
    </row>
    <row r="67" spans="1:5" ht="12.75">
      <c r="A67" s="119" t="s">
        <v>86</v>
      </c>
      <c r="B67" s="198">
        <f>SUM(B68,B70,B71,)</f>
        <v>1140000</v>
      </c>
      <c r="C67" s="198">
        <f>SUM(C68,C70,C71,)</f>
        <v>304170</v>
      </c>
      <c r="D67" s="26">
        <f t="shared" si="0"/>
        <v>26.681578947368422</v>
      </c>
      <c r="E67" s="49">
        <f t="shared" si="1"/>
        <v>-835830</v>
      </c>
    </row>
    <row r="68" spans="1:5" ht="12.75">
      <c r="A68" s="118" t="s">
        <v>267</v>
      </c>
      <c r="B68" s="116">
        <v>840000</v>
      </c>
      <c r="C68" s="116">
        <v>304170</v>
      </c>
      <c r="D68" s="26">
        <f t="shared" si="0"/>
        <v>36.21071428571428</v>
      </c>
      <c r="E68" s="49">
        <f t="shared" si="1"/>
        <v>-535830</v>
      </c>
    </row>
    <row r="69" spans="1:5" ht="12.75">
      <c r="A69" s="200" t="s">
        <v>87</v>
      </c>
      <c r="B69" s="201">
        <v>420000</v>
      </c>
      <c r="C69" s="201">
        <v>210000</v>
      </c>
      <c r="D69" s="202">
        <f t="shared" si="0"/>
        <v>50</v>
      </c>
      <c r="E69" s="203">
        <f t="shared" si="1"/>
        <v>-210000</v>
      </c>
    </row>
    <row r="70" spans="1:5" ht="44.25" customHeight="1">
      <c r="A70" s="17" t="s">
        <v>211</v>
      </c>
      <c r="B70" s="25">
        <v>300000</v>
      </c>
      <c r="C70" s="25">
        <v>0</v>
      </c>
      <c r="D70" s="26">
        <f t="shared" si="0"/>
        <v>0</v>
      </c>
      <c r="E70" s="49">
        <f t="shared" si="1"/>
        <v>-300000</v>
      </c>
    </row>
    <row r="71" spans="1:5" ht="47.25" customHeight="1">
      <c r="A71" s="17" t="s">
        <v>211</v>
      </c>
      <c r="B71" s="25">
        <v>0</v>
      </c>
      <c r="C71" s="25">
        <v>0</v>
      </c>
      <c r="D71" s="26" t="str">
        <f t="shared" si="0"/>
        <v>   </v>
      </c>
      <c r="E71" s="49">
        <f t="shared" si="1"/>
        <v>0</v>
      </c>
    </row>
    <row r="72" spans="1:5" ht="12.75">
      <c r="A72" s="158" t="s">
        <v>84</v>
      </c>
      <c r="B72" s="237">
        <f>B73+B74+B75+B76+B77</f>
        <v>4614340</v>
      </c>
      <c r="C72" s="237">
        <f>C73+C74+C75+C76+C77</f>
        <v>783555.06</v>
      </c>
      <c r="D72" s="238">
        <f t="shared" si="0"/>
        <v>16.9808696368278</v>
      </c>
      <c r="E72" s="239">
        <f t="shared" si="1"/>
        <v>-3830784.94</v>
      </c>
    </row>
    <row r="73" spans="1:5" ht="12.75">
      <c r="A73" s="16" t="s">
        <v>88</v>
      </c>
      <c r="B73" s="25">
        <v>2360000</v>
      </c>
      <c r="C73" s="27">
        <v>526006.14</v>
      </c>
      <c r="D73" s="26">
        <f t="shared" si="0"/>
        <v>22.288395762711865</v>
      </c>
      <c r="E73" s="49">
        <f t="shared" si="1"/>
        <v>-1833993.8599999999</v>
      </c>
    </row>
    <row r="74" spans="1:5" ht="12.75">
      <c r="A74" s="16" t="s">
        <v>89</v>
      </c>
      <c r="B74" s="25">
        <v>300000</v>
      </c>
      <c r="C74" s="27">
        <v>0</v>
      </c>
      <c r="D74" s="26">
        <f aca="true" t="shared" si="2" ref="D74:D96">IF(B74=0,"   ",C74/B74*100)</f>
        <v>0</v>
      </c>
      <c r="E74" s="49">
        <f t="shared" si="1"/>
        <v>-300000</v>
      </c>
    </row>
    <row r="75" spans="1:5" ht="12.75">
      <c r="A75" s="16" t="s">
        <v>90</v>
      </c>
      <c r="B75" s="25">
        <v>100000</v>
      </c>
      <c r="C75" s="27">
        <v>0</v>
      </c>
      <c r="D75" s="26">
        <f t="shared" si="2"/>
        <v>0</v>
      </c>
      <c r="E75" s="49">
        <f t="shared" si="1"/>
        <v>-100000</v>
      </c>
    </row>
    <row r="76" spans="1:5" ht="12.75">
      <c r="A76" s="16" t="s">
        <v>91</v>
      </c>
      <c r="B76" s="25">
        <v>1815280</v>
      </c>
      <c r="C76" s="27">
        <v>257548.92</v>
      </c>
      <c r="D76" s="26">
        <f t="shared" si="2"/>
        <v>14.187834383676348</v>
      </c>
      <c r="E76" s="49">
        <f t="shared" si="1"/>
        <v>-1557731.08</v>
      </c>
    </row>
    <row r="77" spans="1:5" ht="14.25" customHeight="1">
      <c r="A77" s="47" t="s">
        <v>139</v>
      </c>
      <c r="B77" s="25">
        <v>39060</v>
      </c>
      <c r="C77" s="27">
        <v>0</v>
      </c>
      <c r="D77" s="26">
        <f t="shared" si="2"/>
        <v>0</v>
      </c>
      <c r="E77" s="49">
        <f t="shared" si="1"/>
        <v>-39060</v>
      </c>
    </row>
    <row r="78" spans="1:5" ht="15.75" customHeight="1">
      <c r="A78" s="18" t="s">
        <v>24</v>
      </c>
      <c r="B78" s="31">
        <v>20000</v>
      </c>
      <c r="C78" s="31">
        <v>0</v>
      </c>
      <c r="D78" s="26">
        <f t="shared" si="2"/>
        <v>0</v>
      </c>
      <c r="E78" s="49">
        <f t="shared" si="1"/>
        <v>-20000</v>
      </c>
    </row>
    <row r="79" spans="1:5" ht="12.75">
      <c r="A79" s="16" t="s">
        <v>54</v>
      </c>
      <c r="B79" s="191">
        <f>B80</f>
        <v>6717500</v>
      </c>
      <c r="C79" s="191">
        <f>C80</f>
        <v>1501200</v>
      </c>
      <c r="D79" s="26">
        <f t="shared" si="2"/>
        <v>22.347599553405285</v>
      </c>
      <c r="E79" s="49">
        <f t="shared" si="1"/>
        <v>-5216300</v>
      </c>
    </row>
    <row r="80" spans="1:5" ht="12.75">
      <c r="A80" s="16" t="s">
        <v>55</v>
      </c>
      <c r="B80" s="25">
        <v>6717500</v>
      </c>
      <c r="C80" s="33">
        <v>1501200</v>
      </c>
      <c r="D80" s="26">
        <f t="shared" si="2"/>
        <v>22.347599553405285</v>
      </c>
      <c r="E80" s="49">
        <f t="shared" si="1"/>
        <v>-5216300</v>
      </c>
    </row>
    <row r="81" spans="1:5" ht="15.75" customHeight="1">
      <c r="A81" s="118" t="s">
        <v>207</v>
      </c>
      <c r="B81" s="25">
        <v>0</v>
      </c>
      <c r="C81" s="27">
        <v>0</v>
      </c>
      <c r="D81" s="26" t="str">
        <f t="shared" si="2"/>
        <v>   </v>
      </c>
      <c r="E81" s="49">
        <f t="shared" si="1"/>
        <v>0</v>
      </c>
    </row>
    <row r="82" spans="1:5" ht="14.25" customHeight="1">
      <c r="A82" s="16" t="s">
        <v>177</v>
      </c>
      <c r="B82" s="25">
        <v>6600</v>
      </c>
      <c r="C82" s="27">
        <v>0</v>
      </c>
      <c r="D82" s="26">
        <f t="shared" si="2"/>
        <v>0</v>
      </c>
      <c r="E82" s="49">
        <f t="shared" si="1"/>
        <v>-6600</v>
      </c>
    </row>
    <row r="83" spans="1:5" ht="12.75">
      <c r="A83" s="16" t="s">
        <v>214</v>
      </c>
      <c r="B83" s="193">
        <f>SUM(B84,)</f>
        <v>150000</v>
      </c>
      <c r="C83" s="193">
        <f>SUM(C84,)</f>
        <v>23640</v>
      </c>
      <c r="D83" s="26">
        <f t="shared" si="2"/>
        <v>15.76</v>
      </c>
      <c r="E83" s="49">
        <f t="shared" si="1"/>
        <v>-126360</v>
      </c>
    </row>
    <row r="84" spans="1:5" ht="14.25" customHeight="1">
      <c r="A84" s="16" t="s">
        <v>56</v>
      </c>
      <c r="B84" s="25">
        <v>150000</v>
      </c>
      <c r="C84" s="28">
        <v>23640</v>
      </c>
      <c r="D84" s="26">
        <f t="shared" si="2"/>
        <v>15.76</v>
      </c>
      <c r="E84" s="49">
        <f t="shared" si="1"/>
        <v>-126360</v>
      </c>
    </row>
    <row r="85" spans="1:5" ht="15.75" customHeight="1">
      <c r="A85" s="16" t="s">
        <v>18</v>
      </c>
      <c r="B85" s="193">
        <f>B86</f>
        <v>2180580</v>
      </c>
      <c r="C85" s="193">
        <f>C86</f>
        <v>15000</v>
      </c>
      <c r="D85" s="26">
        <f t="shared" si="2"/>
        <v>0.6878903777893954</v>
      </c>
      <c r="E85" s="49">
        <f t="shared" si="1"/>
        <v>-2165580</v>
      </c>
    </row>
    <row r="86" spans="1:5" ht="15.75" customHeight="1">
      <c r="A86" s="16" t="s">
        <v>223</v>
      </c>
      <c r="B86" s="193">
        <f>SUM(B87,B88,B89)</f>
        <v>2180580</v>
      </c>
      <c r="C86" s="193">
        <f>SUM(C87,C88,C89)</f>
        <v>15000</v>
      </c>
      <c r="D86" s="26"/>
      <c r="E86" s="49"/>
    </row>
    <row r="87" spans="1:5" ht="12.75">
      <c r="A87" s="16" t="s">
        <v>243</v>
      </c>
      <c r="B87" s="25">
        <v>15000</v>
      </c>
      <c r="C87" s="27">
        <v>15000</v>
      </c>
      <c r="D87" s="26">
        <f t="shared" si="2"/>
        <v>100</v>
      </c>
      <c r="E87" s="49">
        <f t="shared" si="1"/>
        <v>0</v>
      </c>
    </row>
    <row r="88" spans="1:5" ht="38.25" customHeight="1">
      <c r="A88" s="119" t="s">
        <v>183</v>
      </c>
      <c r="B88" s="120">
        <v>0</v>
      </c>
      <c r="C88" s="121">
        <v>0</v>
      </c>
      <c r="D88" s="26" t="str">
        <f t="shared" si="2"/>
        <v>   </v>
      </c>
      <c r="E88" s="49">
        <f t="shared" si="1"/>
        <v>0</v>
      </c>
    </row>
    <row r="89" spans="1:5" ht="21.75" customHeight="1">
      <c r="A89" s="119" t="s">
        <v>229</v>
      </c>
      <c r="B89" s="198">
        <f>SUM(B90:B92)</f>
        <v>2165580</v>
      </c>
      <c r="C89" s="198">
        <f>SUM(C90:C92)</f>
        <v>0</v>
      </c>
      <c r="D89" s="26">
        <f t="shared" si="2"/>
        <v>0</v>
      </c>
      <c r="E89" s="49">
        <f t="shared" si="1"/>
        <v>-2165580</v>
      </c>
    </row>
    <row r="90" spans="1:5" ht="13.5" customHeight="1">
      <c r="A90" s="47" t="s">
        <v>233</v>
      </c>
      <c r="B90" s="120">
        <v>0</v>
      </c>
      <c r="C90" s="121">
        <v>0</v>
      </c>
      <c r="D90" s="26"/>
      <c r="E90" s="49"/>
    </row>
    <row r="91" spans="1:5" ht="11.25" customHeight="1">
      <c r="A91" s="47" t="s">
        <v>234</v>
      </c>
      <c r="B91" s="120">
        <v>1740580</v>
      </c>
      <c r="C91" s="121">
        <v>0</v>
      </c>
      <c r="D91" s="26"/>
      <c r="E91" s="49"/>
    </row>
    <row r="92" spans="1:5" ht="14.25" customHeight="1">
      <c r="A92" s="47" t="s">
        <v>235</v>
      </c>
      <c r="B92" s="125">
        <v>425000</v>
      </c>
      <c r="C92" s="121">
        <v>0</v>
      </c>
      <c r="D92" s="26"/>
      <c r="E92" s="49"/>
    </row>
    <row r="93" spans="1:5" ht="14.25" customHeight="1">
      <c r="A93" s="47" t="s">
        <v>254</v>
      </c>
      <c r="B93" s="125">
        <v>90000</v>
      </c>
      <c r="C93" s="121">
        <v>19350.85</v>
      </c>
      <c r="D93" s="26"/>
      <c r="E93" s="49"/>
    </row>
    <row r="94" spans="1:5" ht="14.25" customHeight="1">
      <c r="A94" s="47" t="s">
        <v>255</v>
      </c>
      <c r="B94" s="125">
        <v>90000</v>
      </c>
      <c r="C94" s="121">
        <v>19350</v>
      </c>
      <c r="D94" s="26"/>
      <c r="E94" s="49"/>
    </row>
    <row r="95" spans="1:5" ht="17.25" customHeight="1">
      <c r="A95" s="164" t="s">
        <v>19</v>
      </c>
      <c r="B95" s="168">
        <f>B41+B50+B52+B57+B62+B78+B79+B83+B85+B93</f>
        <v>22072980</v>
      </c>
      <c r="C95" s="168">
        <f>C41+C50+C52+C57+C62+C78+C79+C83+C85+C93</f>
        <v>3399186.96</v>
      </c>
      <c r="D95" s="166">
        <f t="shared" si="2"/>
        <v>15.3997645990709</v>
      </c>
      <c r="E95" s="167">
        <f t="shared" si="1"/>
        <v>-18673793.04</v>
      </c>
    </row>
    <row r="96" spans="1:5" ht="13.5" thickBot="1">
      <c r="A96" s="98" t="s">
        <v>210</v>
      </c>
      <c r="B96" s="212">
        <f>B43+B55+B81</f>
        <v>1366904</v>
      </c>
      <c r="C96" s="212">
        <f>C43+C55+C81</f>
        <v>253865.75</v>
      </c>
      <c r="D96" s="99">
        <f t="shared" si="2"/>
        <v>18.572317441458946</v>
      </c>
      <c r="E96" s="100">
        <f t="shared" si="1"/>
        <v>-1113038.25</v>
      </c>
    </row>
    <row r="97" spans="1:5" s="76" customFormat="1" ht="23.25" customHeight="1">
      <c r="A97" s="110" t="s">
        <v>249</v>
      </c>
      <c r="B97" s="110"/>
      <c r="C97" s="250"/>
      <c r="D97" s="250"/>
      <c r="E97" s="250"/>
    </row>
    <row r="98" spans="1:5" s="76" customFormat="1" ht="12" customHeight="1">
      <c r="A98" s="110" t="s">
        <v>248</v>
      </c>
      <c r="B98" s="110"/>
      <c r="C98" s="111" t="s">
        <v>250</v>
      </c>
      <c r="D98" s="112"/>
      <c r="E98" s="113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</sheetData>
  <mergeCells count="2">
    <mergeCell ref="A1:E1"/>
    <mergeCell ref="C97:E97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61">
      <selection activeCell="B87" sqref="B87"/>
    </sheetView>
  </sheetViews>
  <sheetFormatPr defaultColWidth="9.00390625" defaultRowHeight="12.75"/>
  <cols>
    <col min="1" max="1" width="97.625" style="0" customWidth="1"/>
    <col min="2" max="2" width="18.75390625" style="0" customWidth="1"/>
    <col min="3" max="3" width="19.375" style="0" customWidth="1"/>
    <col min="4" max="4" width="19.75390625" style="0" customWidth="1"/>
    <col min="5" max="5" width="19.25390625" style="0" customWidth="1"/>
  </cols>
  <sheetData>
    <row r="1" spans="1:5" ht="18">
      <c r="A1" s="252" t="s">
        <v>311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5" t="s">
        <v>1</v>
      </c>
      <c r="B4" s="19" t="s">
        <v>282</v>
      </c>
      <c r="C4" s="32" t="s">
        <v>307</v>
      </c>
      <c r="D4" s="19" t="s">
        <v>274</v>
      </c>
      <c r="E4" s="101" t="s">
        <v>297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103800</v>
      </c>
      <c r="C7" s="191">
        <f>SUM(C8)</f>
        <v>26559.93</v>
      </c>
      <c r="D7" s="26">
        <f aca="true" t="shared" si="0" ref="D7:D69">IF(B7=0,"   ",C7/B7*100)</f>
        <v>25.58760115606936</v>
      </c>
      <c r="E7" s="49">
        <f aca="true" t="shared" si="1" ref="E7:E90">C7-B7</f>
        <v>-77240.07</v>
      </c>
    </row>
    <row r="8" spans="1:5" ht="12.75">
      <c r="A8" s="16" t="s">
        <v>57</v>
      </c>
      <c r="B8" s="25">
        <v>103800</v>
      </c>
      <c r="C8" s="27">
        <v>26559.93</v>
      </c>
      <c r="D8" s="26">
        <f t="shared" si="0"/>
        <v>25.58760115606936</v>
      </c>
      <c r="E8" s="49">
        <f t="shared" si="1"/>
        <v>-77240.07</v>
      </c>
    </row>
    <row r="9" spans="1:5" ht="12.75">
      <c r="A9" s="16" t="s">
        <v>7</v>
      </c>
      <c r="B9" s="193">
        <f>SUM(B10:B10)</f>
        <v>4300</v>
      </c>
      <c r="C9" s="193">
        <f>SUM(C10:C10)</f>
        <v>84</v>
      </c>
      <c r="D9" s="26">
        <f t="shared" si="0"/>
        <v>1.9534883720930232</v>
      </c>
      <c r="E9" s="49">
        <f t="shared" si="1"/>
        <v>-4216</v>
      </c>
    </row>
    <row r="10" spans="1:5" ht="12.75">
      <c r="A10" s="16" t="s">
        <v>38</v>
      </c>
      <c r="B10" s="25">
        <v>4300</v>
      </c>
      <c r="C10" s="27">
        <v>84</v>
      </c>
      <c r="D10" s="26">
        <f t="shared" si="0"/>
        <v>1.9534883720930232</v>
      </c>
      <c r="E10" s="49">
        <f t="shared" si="1"/>
        <v>-4216</v>
      </c>
    </row>
    <row r="11" spans="1:5" ht="12.75">
      <c r="A11" s="16" t="s">
        <v>9</v>
      </c>
      <c r="B11" s="193">
        <f>SUM(B12:B13)</f>
        <v>218800</v>
      </c>
      <c r="C11" s="193">
        <f>SUM(C12:C13)</f>
        <v>18244.21</v>
      </c>
      <c r="D11" s="26">
        <f t="shared" si="0"/>
        <v>8.338304387568556</v>
      </c>
      <c r="E11" s="49">
        <f t="shared" si="1"/>
        <v>-200555.79</v>
      </c>
    </row>
    <row r="12" spans="1:5" ht="12.75">
      <c r="A12" s="16" t="s">
        <v>39</v>
      </c>
      <c r="B12" s="25">
        <v>68800</v>
      </c>
      <c r="C12" s="27">
        <v>2751.64</v>
      </c>
      <c r="D12" s="26">
        <f t="shared" si="0"/>
        <v>3.9994767441860466</v>
      </c>
      <c r="E12" s="49">
        <f t="shared" si="1"/>
        <v>-66048.36</v>
      </c>
    </row>
    <row r="13" spans="1:5" ht="12.75">
      <c r="A13" s="16" t="s">
        <v>10</v>
      </c>
      <c r="B13" s="25">
        <v>150000</v>
      </c>
      <c r="C13" s="27">
        <v>15492.57</v>
      </c>
      <c r="D13" s="26">
        <f t="shared" si="0"/>
        <v>10.32838</v>
      </c>
      <c r="E13" s="49">
        <f t="shared" si="1"/>
        <v>-134507.43</v>
      </c>
    </row>
    <row r="14" spans="1:5" ht="25.5">
      <c r="A14" s="16" t="s">
        <v>127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9.25" customHeight="1">
      <c r="A15" s="16" t="s">
        <v>40</v>
      </c>
      <c r="B15" s="193">
        <f>SUM(B16:B17)</f>
        <v>10500</v>
      </c>
      <c r="C15" s="191">
        <f>SUM(C16:C17)</f>
        <v>7066.07</v>
      </c>
      <c r="D15" s="26">
        <f t="shared" si="0"/>
        <v>67.29590476190475</v>
      </c>
      <c r="E15" s="49">
        <f t="shared" si="1"/>
        <v>-3433.9300000000003</v>
      </c>
    </row>
    <row r="16" spans="1:5" ht="12.75">
      <c r="A16" s="16" t="s">
        <v>41</v>
      </c>
      <c r="B16" s="25">
        <v>10500</v>
      </c>
      <c r="C16" s="27">
        <v>7066.07</v>
      </c>
      <c r="D16" s="26">
        <f t="shared" si="0"/>
        <v>67.29590476190475</v>
      </c>
      <c r="E16" s="49">
        <f t="shared" si="1"/>
        <v>-3433.9300000000003</v>
      </c>
    </row>
    <row r="17" spans="1:5" ht="25.5" customHeight="1">
      <c r="A17" s="16" t="s">
        <v>42</v>
      </c>
      <c r="B17" s="25">
        <v>0</v>
      </c>
      <c r="C17" s="27">
        <v>0</v>
      </c>
      <c r="D17" s="26" t="str">
        <f t="shared" si="0"/>
        <v>   </v>
      </c>
      <c r="E17" s="49">
        <f t="shared" si="1"/>
        <v>0</v>
      </c>
    </row>
    <row r="18" spans="1:5" ht="18.75" customHeight="1">
      <c r="A18" s="16" t="s">
        <v>113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7.25" customHeight="1">
      <c r="A19" s="16" t="s">
        <v>101</v>
      </c>
      <c r="B19" s="191">
        <f>B20</f>
        <v>0</v>
      </c>
      <c r="C19" s="191">
        <f>C20</f>
        <v>11071.46</v>
      </c>
      <c r="D19" s="26" t="str">
        <f t="shared" si="0"/>
        <v>   </v>
      </c>
      <c r="E19" s="49">
        <f t="shared" si="1"/>
        <v>11071.46</v>
      </c>
    </row>
    <row r="20" spans="1:5" ht="27.75" customHeight="1">
      <c r="A20" s="16" t="s">
        <v>102</v>
      </c>
      <c r="B20" s="25">
        <v>0</v>
      </c>
      <c r="C20" s="27">
        <v>11071.46</v>
      </c>
      <c r="D20" s="26" t="str">
        <f t="shared" si="0"/>
        <v>   </v>
      </c>
      <c r="E20" s="49">
        <f t="shared" si="1"/>
        <v>11071.46</v>
      </c>
    </row>
    <row r="21" spans="1:5" ht="14.25" customHeight="1">
      <c r="A21" s="16" t="s">
        <v>44</v>
      </c>
      <c r="B21" s="193">
        <f>B22+B23</f>
        <v>0</v>
      </c>
      <c r="C21" s="193">
        <f>SUM(C22:C23)</f>
        <v>0</v>
      </c>
      <c r="D21" s="26" t="str">
        <f t="shared" si="0"/>
        <v>   </v>
      </c>
      <c r="E21" s="49">
        <f t="shared" si="1"/>
        <v>0</v>
      </c>
    </row>
    <row r="22" spans="1:5" ht="12.75">
      <c r="A22" s="16" t="s">
        <v>59</v>
      </c>
      <c r="B22" s="25">
        <v>0</v>
      </c>
      <c r="C22" s="25">
        <v>0</v>
      </c>
      <c r="D22" s="26"/>
      <c r="E22" s="49"/>
    </row>
    <row r="23" spans="1:5" ht="12.75">
      <c r="A23" s="16" t="s">
        <v>66</v>
      </c>
      <c r="B23" s="25">
        <v>0</v>
      </c>
      <c r="C23" s="27">
        <v>0</v>
      </c>
      <c r="D23" s="26" t="str">
        <f t="shared" si="0"/>
        <v>   </v>
      </c>
      <c r="E23" s="49">
        <f t="shared" si="1"/>
        <v>0</v>
      </c>
    </row>
    <row r="24" spans="1:5" ht="15.75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4" t="s">
        <v>11</v>
      </c>
      <c r="B25" s="165">
        <f>SUM(B7,B9,B11,B15,B18,B19,B21,B24,B14)</f>
        <v>337400</v>
      </c>
      <c r="C25" s="165">
        <f>SUM(C7,C9,C11,C15,C18,C19,C21,C24,C14)</f>
        <v>63025.67</v>
      </c>
      <c r="D25" s="166">
        <f t="shared" si="0"/>
        <v>18.679807350326023</v>
      </c>
      <c r="E25" s="167">
        <f t="shared" si="1"/>
        <v>-274374.33</v>
      </c>
    </row>
    <row r="26" spans="1:5" ht="18" customHeight="1">
      <c r="A26" s="117" t="s">
        <v>204</v>
      </c>
      <c r="B26" s="50">
        <v>0</v>
      </c>
      <c r="C26" s="50">
        <v>0</v>
      </c>
      <c r="D26" s="26"/>
      <c r="E26" s="49"/>
    </row>
    <row r="27" spans="1:5" ht="16.5" customHeight="1">
      <c r="A27" s="17" t="s">
        <v>46</v>
      </c>
      <c r="B27" s="24">
        <v>1667300</v>
      </c>
      <c r="C27" s="24">
        <v>359450</v>
      </c>
      <c r="D27" s="26">
        <f t="shared" si="0"/>
        <v>21.558807653091826</v>
      </c>
      <c r="E27" s="49">
        <f t="shared" si="1"/>
        <v>-1307850</v>
      </c>
    </row>
    <row r="28" spans="1:5" ht="14.25" customHeight="1">
      <c r="A28" s="16" t="s">
        <v>63</v>
      </c>
      <c r="B28" s="25">
        <v>185500</v>
      </c>
      <c r="C28" s="27">
        <v>0</v>
      </c>
      <c r="D28" s="26">
        <f t="shared" si="0"/>
        <v>0</v>
      </c>
      <c r="E28" s="49">
        <f t="shared" si="1"/>
        <v>-185500</v>
      </c>
    </row>
    <row r="29" spans="1:5" ht="30.75" customHeight="1">
      <c r="A29" s="200" t="s">
        <v>67</v>
      </c>
      <c r="B29" s="201">
        <v>50800</v>
      </c>
      <c r="C29" s="205">
        <v>50300</v>
      </c>
      <c r="D29" s="202">
        <f t="shared" si="0"/>
        <v>99.01574803149606</v>
      </c>
      <c r="E29" s="203">
        <f t="shared" si="1"/>
        <v>-500</v>
      </c>
    </row>
    <row r="30" spans="1:5" ht="32.25" customHeight="1">
      <c r="A30" s="200" t="s">
        <v>68</v>
      </c>
      <c r="B30" s="201">
        <v>100</v>
      </c>
      <c r="C30" s="201">
        <v>0</v>
      </c>
      <c r="D30" s="202">
        <f t="shared" si="0"/>
        <v>0</v>
      </c>
      <c r="E30" s="203">
        <f t="shared" si="1"/>
        <v>-100</v>
      </c>
    </row>
    <row r="31" spans="1:5" ht="24" customHeight="1">
      <c r="A31" s="16" t="s">
        <v>263</v>
      </c>
      <c r="B31" s="25">
        <v>0</v>
      </c>
      <c r="C31" s="25">
        <v>0</v>
      </c>
      <c r="D31" s="26" t="str">
        <f t="shared" si="0"/>
        <v>   </v>
      </c>
      <c r="E31" s="49">
        <f t="shared" si="1"/>
        <v>0</v>
      </c>
    </row>
    <row r="32" spans="1:5" ht="25.5" customHeight="1">
      <c r="A32" s="16" t="s">
        <v>115</v>
      </c>
      <c r="B32" s="25">
        <v>0</v>
      </c>
      <c r="C32" s="25">
        <v>0</v>
      </c>
      <c r="D32" s="26" t="str">
        <f t="shared" si="0"/>
        <v>   </v>
      </c>
      <c r="E32" s="49">
        <f t="shared" si="1"/>
        <v>0</v>
      </c>
    </row>
    <row r="33" spans="1:5" ht="27.75" customHeight="1">
      <c r="A33" s="16" t="s">
        <v>170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40.5" customHeight="1">
      <c r="A34" s="16" t="s">
        <v>298</v>
      </c>
      <c r="B34" s="25">
        <v>741900</v>
      </c>
      <c r="C34" s="25">
        <v>0</v>
      </c>
      <c r="D34" s="26">
        <f t="shared" si="0"/>
        <v>0</v>
      </c>
      <c r="E34" s="49">
        <f t="shared" si="1"/>
        <v>-741900</v>
      </c>
    </row>
    <row r="35" spans="1:5" ht="40.5" customHeight="1">
      <c r="A35" s="17" t="s">
        <v>273</v>
      </c>
      <c r="B35" s="25">
        <v>0</v>
      </c>
      <c r="C35" s="25">
        <v>0</v>
      </c>
      <c r="D35" s="26" t="str">
        <f t="shared" si="0"/>
        <v>   </v>
      </c>
      <c r="E35" s="49">
        <f t="shared" si="1"/>
        <v>0</v>
      </c>
    </row>
    <row r="36" spans="1:5" ht="30.75" customHeight="1">
      <c r="A36" s="242" t="s">
        <v>149</v>
      </c>
      <c r="B36" s="201">
        <v>3300</v>
      </c>
      <c r="C36" s="201">
        <v>0</v>
      </c>
      <c r="D36" s="202">
        <f t="shared" si="0"/>
        <v>0</v>
      </c>
      <c r="E36" s="203">
        <f t="shared" si="1"/>
        <v>-3300</v>
      </c>
    </row>
    <row r="37" spans="1:5" ht="38.25" customHeight="1">
      <c r="A37" s="242" t="s">
        <v>329</v>
      </c>
      <c r="B37" s="201">
        <v>700000</v>
      </c>
      <c r="C37" s="201">
        <v>0</v>
      </c>
      <c r="D37" s="202">
        <f t="shared" si="0"/>
        <v>0</v>
      </c>
      <c r="E37" s="203">
        <f t="shared" si="1"/>
        <v>-700000</v>
      </c>
    </row>
    <row r="38" spans="1:5" ht="17.25" customHeight="1">
      <c r="A38" s="16" t="s">
        <v>72</v>
      </c>
      <c r="B38" s="193">
        <f>B39</f>
        <v>303000</v>
      </c>
      <c r="C38" s="193">
        <f>C39</f>
        <v>0</v>
      </c>
      <c r="D38" s="26">
        <f t="shared" si="0"/>
        <v>0</v>
      </c>
      <c r="E38" s="49">
        <f t="shared" si="1"/>
        <v>-303000</v>
      </c>
    </row>
    <row r="39" spans="1:5" s="7" customFormat="1" ht="14.25" customHeight="1">
      <c r="A39" s="16" t="s">
        <v>180</v>
      </c>
      <c r="B39" s="64">
        <v>303000</v>
      </c>
      <c r="C39" s="25">
        <v>0</v>
      </c>
      <c r="D39" s="64">
        <f t="shared" si="0"/>
        <v>0</v>
      </c>
      <c r="E39" s="43">
        <f t="shared" si="1"/>
        <v>-303000</v>
      </c>
    </row>
    <row r="40" spans="1:5" ht="18.75" customHeight="1">
      <c r="A40" s="16" t="s">
        <v>47</v>
      </c>
      <c r="B40" s="25">
        <v>0</v>
      </c>
      <c r="C40" s="25">
        <v>0</v>
      </c>
      <c r="D40" s="26" t="str">
        <f t="shared" si="0"/>
        <v>   </v>
      </c>
      <c r="E40" s="49">
        <f t="shared" si="1"/>
        <v>0</v>
      </c>
    </row>
    <row r="41" spans="1:5" ht="23.25" customHeight="1">
      <c r="A41" s="164" t="s">
        <v>14</v>
      </c>
      <c r="B41" s="168">
        <f>SUM(B25,B27,B28,B29:B30,B31,B32,B33,B34,B36,B38,B40+B26+B35+B37)</f>
        <v>3989300</v>
      </c>
      <c r="C41" s="168">
        <f>SUM(C25,C26,C27,C28,C29:C30,C31,C32,C33,C34,C36,C38,C40+C37)</f>
        <v>472775.67</v>
      </c>
      <c r="D41" s="166">
        <f t="shared" si="0"/>
        <v>11.851093424911637</v>
      </c>
      <c r="E41" s="167">
        <f t="shared" si="1"/>
        <v>-3516524.33</v>
      </c>
    </row>
    <row r="42" spans="1:5" ht="12.75">
      <c r="A42" s="22" t="s">
        <v>15</v>
      </c>
      <c r="B42" s="51"/>
      <c r="C42" s="52"/>
      <c r="D42" s="26" t="str">
        <f t="shared" si="0"/>
        <v>   </v>
      </c>
      <c r="E42" s="49">
        <f t="shared" si="1"/>
        <v>0</v>
      </c>
    </row>
    <row r="43" spans="1:5" ht="12.75">
      <c r="A43" s="16" t="s">
        <v>48</v>
      </c>
      <c r="B43" s="25">
        <v>755700</v>
      </c>
      <c r="C43" s="25">
        <v>129518.62</v>
      </c>
      <c r="D43" s="26">
        <f t="shared" si="0"/>
        <v>17.138893740902475</v>
      </c>
      <c r="E43" s="49">
        <f t="shared" si="1"/>
        <v>-626181.38</v>
      </c>
    </row>
    <row r="44" spans="1:5" ht="14.25" customHeight="1">
      <c r="A44" s="16" t="s">
        <v>49</v>
      </c>
      <c r="B44" s="25">
        <v>755200</v>
      </c>
      <c r="C44" s="25">
        <v>129518.62</v>
      </c>
      <c r="D44" s="26">
        <f t="shared" si="0"/>
        <v>17.15024099576271</v>
      </c>
      <c r="E44" s="49">
        <f t="shared" si="1"/>
        <v>-625681.38</v>
      </c>
    </row>
    <row r="45" spans="1:5" ht="12.75">
      <c r="A45" s="118" t="s">
        <v>207</v>
      </c>
      <c r="B45" s="25">
        <v>476900</v>
      </c>
      <c r="C45" s="28">
        <v>81845.64</v>
      </c>
      <c r="D45" s="26">
        <f t="shared" si="0"/>
        <v>17.162013000629063</v>
      </c>
      <c r="E45" s="49">
        <f t="shared" si="1"/>
        <v>-395054.36</v>
      </c>
    </row>
    <row r="46" spans="1:5" ht="12.75">
      <c r="A46" s="16" t="s">
        <v>184</v>
      </c>
      <c r="B46" s="25">
        <v>100</v>
      </c>
      <c r="C46" s="28">
        <v>0</v>
      </c>
      <c r="D46" s="26">
        <f t="shared" si="0"/>
        <v>0</v>
      </c>
      <c r="E46" s="49">
        <f t="shared" si="1"/>
        <v>-100</v>
      </c>
    </row>
    <row r="47" spans="1:5" ht="12.75">
      <c r="A47" s="16" t="s">
        <v>141</v>
      </c>
      <c r="B47" s="25">
        <v>500</v>
      </c>
      <c r="C47" s="27">
        <v>0</v>
      </c>
      <c r="D47" s="26">
        <f t="shared" si="0"/>
        <v>0</v>
      </c>
      <c r="E47" s="49">
        <f t="shared" si="1"/>
        <v>-500</v>
      </c>
    </row>
    <row r="48" spans="1:5" ht="12.75">
      <c r="A48" s="16" t="s">
        <v>69</v>
      </c>
      <c r="B48" s="193">
        <f>B49</f>
        <v>0</v>
      </c>
      <c r="C48" s="193">
        <f>C49</f>
        <v>0</v>
      </c>
      <c r="D48" s="26" t="str">
        <f t="shared" si="0"/>
        <v>   </v>
      </c>
      <c r="E48" s="49">
        <f t="shared" si="1"/>
        <v>0</v>
      </c>
    </row>
    <row r="49" spans="1:5" ht="12.75">
      <c r="A49" s="16" t="s">
        <v>85</v>
      </c>
      <c r="B49" s="25">
        <v>0</v>
      </c>
      <c r="C49" s="27">
        <v>0</v>
      </c>
      <c r="D49" s="26" t="str">
        <f t="shared" si="0"/>
        <v>   </v>
      </c>
      <c r="E49" s="49">
        <f t="shared" si="1"/>
        <v>0</v>
      </c>
    </row>
    <row r="50" spans="1:5" ht="12.75">
      <c r="A50" s="16" t="s">
        <v>65</v>
      </c>
      <c r="B50" s="194">
        <f>SUM(B51)</f>
        <v>50800</v>
      </c>
      <c r="C50" s="194">
        <f>SUM(C51)</f>
        <v>6877.52</v>
      </c>
      <c r="D50" s="26">
        <f t="shared" si="0"/>
        <v>13.538425196850396</v>
      </c>
      <c r="E50" s="49">
        <f t="shared" si="1"/>
        <v>-43922.479999999996</v>
      </c>
    </row>
    <row r="51" spans="1:5" ht="24.75" customHeight="1">
      <c r="A51" s="16" t="s">
        <v>176</v>
      </c>
      <c r="B51" s="25">
        <v>50800</v>
      </c>
      <c r="C51" s="27">
        <v>6877.52</v>
      </c>
      <c r="D51" s="26">
        <f t="shared" si="0"/>
        <v>13.538425196850396</v>
      </c>
      <c r="E51" s="49">
        <f t="shared" si="1"/>
        <v>-43922.479999999996</v>
      </c>
    </row>
    <row r="52" spans="1:5" ht="14.25" customHeight="1">
      <c r="A52" s="16" t="s">
        <v>50</v>
      </c>
      <c r="B52" s="193">
        <f>SUM(B53)</f>
        <v>600</v>
      </c>
      <c r="C52" s="194">
        <f>SUM(C53)</f>
        <v>0</v>
      </c>
      <c r="D52" s="26">
        <f t="shared" si="0"/>
        <v>0</v>
      </c>
      <c r="E52" s="49">
        <f t="shared" si="1"/>
        <v>-600</v>
      </c>
    </row>
    <row r="53" spans="1:5" ht="25.5" customHeight="1">
      <c r="A53" s="47" t="s">
        <v>129</v>
      </c>
      <c r="B53" s="25">
        <v>600</v>
      </c>
      <c r="C53" s="27">
        <v>0</v>
      </c>
      <c r="D53" s="26">
        <f t="shared" si="0"/>
        <v>0</v>
      </c>
      <c r="E53" s="49">
        <f t="shared" si="1"/>
        <v>-600</v>
      </c>
    </row>
    <row r="54" spans="1:5" ht="12.75">
      <c r="A54" s="16" t="s">
        <v>51</v>
      </c>
      <c r="B54" s="193">
        <f>SUM(B55)</f>
        <v>453000</v>
      </c>
      <c r="C54" s="193">
        <f>SUM(C55)</f>
        <v>25000</v>
      </c>
      <c r="D54" s="26">
        <f t="shared" si="0"/>
        <v>5.518763796909492</v>
      </c>
      <c r="E54" s="49">
        <f t="shared" si="1"/>
        <v>-428000</v>
      </c>
    </row>
    <row r="55" spans="1:5" ht="12.75" customHeight="1">
      <c r="A55" s="145" t="s">
        <v>285</v>
      </c>
      <c r="B55" s="25">
        <f>B56+B57+B58</f>
        <v>453000</v>
      </c>
      <c r="C55" s="25">
        <f>C56+C57+C58</f>
        <v>25000</v>
      </c>
      <c r="D55" s="26">
        <f t="shared" si="0"/>
        <v>5.518763796909492</v>
      </c>
      <c r="E55" s="49">
        <f t="shared" si="1"/>
        <v>-428000</v>
      </c>
    </row>
    <row r="56" spans="1:5" ht="12.75" customHeight="1">
      <c r="A56" s="103" t="s">
        <v>330</v>
      </c>
      <c r="B56" s="25">
        <v>215900</v>
      </c>
      <c r="C56" s="25">
        <v>0</v>
      </c>
      <c r="D56" s="26"/>
      <c r="E56" s="49"/>
    </row>
    <row r="57" spans="1:5" ht="26.25" customHeight="1">
      <c r="A57" s="91" t="s">
        <v>286</v>
      </c>
      <c r="B57" s="25">
        <v>87100</v>
      </c>
      <c r="C57" s="25">
        <v>0</v>
      </c>
      <c r="D57" s="26">
        <f t="shared" si="0"/>
        <v>0</v>
      </c>
      <c r="E57" s="49">
        <f t="shared" si="1"/>
        <v>-87100</v>
      </c>
    </row>
    <row r="58" spans="1:5" ht="23.25" customHeight="1">
      <c r="A58" s="91" t="s">
        <v>287</v>
      </c>
      <c r="B58" s="25">
        <v>150000</v>
      </c>
      <c r="C58" s="25">
        <v>25000</v>
      </c>
      <c r="D58" s="26">
        <f t="shared" si="0"/>
        <v>16.666666666666664</v>
      </c>
      <c r="E58" s="49">
        <f t="shared" si="1"/>
        <v>-125000</v>
      </c>
    </row>
    <row r="59" spans="1:5" ht="13.5" customHeight="1">
      <c r="A59" s="16" t="s">
        <v>16</v>
      </c>
      <c r="B59" s="193">
        <f>SUM(B60)</f>
        <v>196600</v>
      </c>
      <c r="C59" s="193">
        <f>SUM(C60)</f>
        <v>29603.55</v>
      </c>
      <c r="D59" s="26">
        <f t="shared" si="0"/>
        <v>15.057756866734486</v>
      </c>
      <c r="E59" s="49">
        <f t="shared" si="1"/>
        <v>-166996.45</v>
      </c>
    </row>
    <row r="60" spans="1:5" ht="12.75">
      <c r="A60" s="16" t="s">
        <v>79</v>
      </c>
      <c r="B60" s="25">
        <v>196600</v>
      </c>
      <c r="C60" s="25">
        <v>29603.55</v>
      </c>
      <c r="D60" s="26">
        <f t="shared" si="0"/>
        <v>15.057756866734486</v>
      </c>
      <c r="E60" s="49">
        <f t="shared" si="1"/>
        <v>-166996.45</v>
      </c>
    </row>
    <row r="61" spans="1:5" ht="12.75">
      <c r="A61" s="16" t="s">
        <v>77</v>
      </c>
      <c r="B61" s="25">
        <v>115000</v>
      </c>
      <c r="C61" s="27">
        <v>29603.55</v>
      </c>
      <c r="D61" s="26">
        <f t="shared" si="0"/>
        <v>25.742217391304344</v>
      </c>
      <c r="E61" s="49">
        <f t="shared" si="1"/>
        <v>-85396.45</v>
      </c>
    </row>
    <row r="62" spans="1:5" ht="12.75">
      <c r="A62" s="16" t="s">
        <v>80</v>
      </c>
      <c r="B62" s="25">
        <v>81600</v>
      </c>
      <c r="C62" s="27">
        <v>0</v>
      </c>
      <c r="D62" s="26">
        <f t="shared" si="0"/>
        <v>0</v>
      </c>
      <c r="E62" s="49">
        <f t="shared" si="1"/>
        <v>-81600</v>
      </c>
    </row>
    <row r="63" spans="1:5" ht="17.25" customHeight="1">
      <c r="A63" s="18" t="s">
        <v>24</v>
      </c>
      <c r="B63" s="31">
        <v>10000</v>
      </c>
      <c r="C63" s="31">
        <v>0</v>
      </c>
      <c r="D63" s="26">
        <f t="shared" si="0"/>
        <v>0</v>
      </c>
      <c r="E63" s="49">
        <f t="shared" si="1"/>
        <v>-10000</v>
      </c>
    </row>
    <row r="64" spans="1:5" ht="15.75" customHeight="1">
      <c r="A64" s="16" t="s">
        <v>54</v>
      </c>
      <c r="B64" s="191">
        <f>B65</f>
        <v>1827600</v>
      </c>
      <c r="C64" s="191">
        <f>C65</f>
        <v>214800</v>
      </c>
      <c r="D64" s="26">
        <f t="shared" si="0"/>
        <v>11.75311884438608</v>
      </c>
      <c r="E64" s="49">
        <f t="shared" si="1"/>
        <v>-1612800</v>
      </c>
    </row>
    <row r="65" spans="1:5" ht="12.75">
      <c r="A65" s="16" t="s">
        <v>55</v>
      </c>
      <c r="B65" s="25">
        <v>1827600</v>
      </c>
      <c r="C65" s="27">
        <v>214800</v>
      </c>
      <c r="D65" s="26">
        <f t="shared" si="0"/>
        <v>11.75311884438608</v>
      </c>
      <c r="E65" s="49">
        <f t="shared" si="1"/>
        <v>-1612800</v>
      </c>
    </row>
    <row r="66" spans="1:5" ht="12.75">
      <c r="A66" s="118" t="s">
        <v>207</v>
      </c>
      <c r="B66" s="25">
        <v>0</v>
      </c>
      <c r="C66" s="27">
        <v>0</v>
      </c>
      <c r="D66" s="26" t="str">
        <f t="shared" si="0"/>
        <v>   </v>
      </c>
      <c r="E66" s="49">
        <f t="shared" si="1"/>
        <v>0</v>
      </c>
    </row>
    <row r="67" spans="1:5" ht="15.75" customHeight="1">
      <c r="A67" s="16" t="s">
        <v>177</v>
      </c>
      <c r="B67" s="25">
        <v>3300</v>
      </c>
      <c r="C67" s="27">
        <v>0</v>
      </c>
      <c r="D67" s="26">
        <f t="shared" si="0"/>
        <v>0</v>
      </c>
      <c r="E67" s="49">
        <f t="shared" si="1"/>
        <v>-3300</v>
      </c>
    </row>
    <row r="68" spans="1:5" ht="12.75">
      <c r="A68" s="16" t="s">
        <v>214</v>
      </c>
      <c r="B68" s="193">
        <f>SUM(B69,)</f>
        <v>30000</v>
      </c>
      <c r="C68" s="193">
        <f>SUM(C69,)</f>
        <v>0</v>
      </c>
      <c r="D68" s="26">
        <f t="shared" si="0"/>
        <v>0</v>
      </c>
      <c r="E68" s="49">
        <f t="shared" si="1"/>
        <v>-30000</v>
      </c>
    </row>
    <row r="69" spans="1:5" ht="12.75">
      <c r="A69" s="16" t="s">
        <v>56</v>
      </c>
      <c r="B69" s="25">
        <v>30000</v>
      </c>
      <c r="C69" s="28">
        <v>0</v>
      </c>
      <c r="D69" s="26">
        <f t="shared" si="0"/>
        <v>0</v>
      </c>
      <c r="E69" s="49">
        <f t="shared" si="1"/>
        <v>-30000</v>
      </c>
    </row>
    <row r="70" spans="1:5" ht="12.75">
      <c r="A70" s="16" t="s">
        <v>18</v>
      </c>
      <c r="B70" s="193">
        <f>B71+B88</f>
        <v>841600</v>
      </c>
      <c r="C70" s="193">
        <f>C71+C88</f>
        <v>0</v>
      </c>
      <c r="D70" s="26">
        <f aca="true" t="shared" si="2" ref="D70:D90">IF(B70=0,"   ",C70/B70*100)</f>
        <v>0</v>
      </c>
      <c r="E70" s="49">
        <f t="shared" si="1"/>
        <v>-841600</v>
      </c>
    </row>
    <row r="71" spans="1:5" ht="12.75">
      <c r="A71" s="16" t="s">
        <v>223</v>
      </c>
      <c r="B71" s="193">
        <f>SUM(B72,B77,B84)</f>
        <v>99700</v>
      </c>
      <c r="C71" s="193">
        <f>SUM(C72,C77,C84)</f>
        <v>0</v>
      </c>
      <c r="D71" s="26"/>
      <c r="E71" s="49"/>
    </row>
    <row r="72" spans="1:5" ht="12.75">
      <c r="A72" s="119" t="s">
        <v>252</v>
      </c>
      <c r="B72" s="198">
        <f>SUM(B73)</f>
        <v>99700</v>
      </c>
      <c r="C72" s="198">
        <f>SUM(C73)</f>
        <v>0</v>
      </c>
      <c r="D72" s="26">
        <f t="shared" si="2"/>
        <v>0</v>
      </c>
      <c r="E72" s="49">
        <f t="shared" si="1"/>
        <v>-99700</v>
      </c>
    </row>
    <row r="73" spans="1:5" ht="25.5">
      <c r="A73" s="16" t="s">
        <v>231</v>
      </c>
      <c r="B73" s="193">
        <f>SUM(B74:B76)</f>
        <v>99700</v>
      </c>
      <c r="C73" s="193">
        <f>SUM(C74:C76)</f>
        <v>0</v>
      </c>
      <c r="D73" s="26">
        <f t="shared" si="2"/>
        <v>0</v>
      </c>
      <c r="E73" s="49">
        <f t="shared" si="1"/>
        <v>-99700</v>
      </c>
    </row>
    <row r="74" spans="1:5" ht="12.75">
      <c r="A74" s="47" t="s">
        <v>233</v>
      </c>
      <c r="B74" s="124">
        <v>0</v>
      </c>
      <c r="C74" s="124"/>
      <c r="D74" s="26" t="str">
        <f t="shared" si="2"/>
        <v>   </v>
      </c>
      <c r="E74" s="49">
        <f t="shared" si="1"/>
        <v>0</v>
      </c>
    </row>
    <row r="75" spans="1:5" ht="12.75">
      <c r="A75" s="47" t="s">
        <v>234</v>
      </c>
      <c r="B75" s="124">
        <v>0</v>
      </c>
      <c r="C75" s="124"/>
      <c r="D75" s="26" t="str">
        <f t="shared" si="2"/>
        <v>   </v>
      </c>
      <c r="E75" s="49">
        <f t="shared" si="1"/>
        <v>0</v>
      </c>
    </row>
    <row r="76" spans="1:5" ht="12.75">
      <c r="A76" s="47" t="s">
        <v>235</v>
      </c>
      <c r="B76" s="124">
        <v>99700</v>
      </c>
      <c r="C76" s="124"/>
      <c r="D76" s="26">
        <f t="shared" si="2"/>
        <v>0</v>
      </c>
      <c r="E76" s="49">
        <f t="shared" si="1"/>
        <v>-99700</v>
      </c>
    </row>
    <row r="77" spans="1:6" ht="12.75">
      <c r="A77" s="119" t="s">
        <v>253</v>
      </c>
      <c r="B77" s="192">
        <f>SUM(B78,B81)</f>
        <v>0</v>
      </c>
      <c r="C77" s="192">
        <f>SUM(C78,C81)</f>
        <v>0</v>
      </c>
      <c r="D77" s="26" t="str">
        <f t="shared" si="2"/>
        <v>   </v>
      </c>
      <c r="E77" s="27">
        <f t="shared" si="1"/>
        <v>0</v>
      </c>
      <c r="F77" s="123"/>
    </row>
    <row r="78" spans="1:6" ht="12.75">
      <c r="A78" s="16" t="s">
        <v>226</v>
      </c>
      <c r="B78" s="192">
        <f>SUM(B79:B80)</f>
        <v>0</v>
      </c>
      <c r="C78" s="192">
        <f>SUM(C79:C80)</f>
        <v>0</v>
      </c>
      <c r="D78" s="26" t="str">
        <f t="shared" si="2"/>
        <v>   </v>
      </c>
      <c r="E78" s="27">
        <f t="shared" si="1"/>
        <v>0</v>
      </c>
      <c r="F78" s="123"/>
    </row>
    <row r="79" spans="1:6" ht="12.75">
      <c r="A79" s="47" t="s">
        <v>234</v>
      </c>
      <c r="B79" s="16">
        <v>0</v>
      </c>
      <c r="C79" s="25"/>
      <c r="D79" s="26" t="str">
        <f t="shared" si="2"/>
        <v>   </v>
      </c>
      <c r="E79" s="27">
        <f t="shared" si="1"/>
        <v>0</v>
      </c>
      <c r="F79" s="123"/>
    </row>
    <row r="80" spans="1:6" ht="12.75">
      <c r="A80" s="47" t="s">
        <v>235</v>
      </c>
      <c r="B80" s="16">
        <v>0</v>
      </c>
      <c r="C80" s="25"/>
      <c r="D80" s="26" t="str">
        <f t="shared" si="2"/>
        <v>   </v>
      </c>
      <c r="E80" s="27">
        <f t="shared" si="1"/>
        <v>0</v>
      </c>
      <c r="F80" s="123"/>
    </row>
    <row r="81" spans="1:6" ht="25.5">
      <c r="A81" s="16" t="s">
        <v>225</v>
      </c>
      <c r="B81" s="192">
        <f>SUM(B82:B83)</f>
        <v>0</v>
      </c>
      <c r="C81" s="192">
        <f>SUM(C82:C83)</f>
        <v>0</v>
      </c>
      <c r="D81" s="26" t="str">
        <f t="shared" si="2"/>
        <v>   </v>
      </c>
      <c r="E81" s="27">
        <f t="shared" si="1"/>
        <v>0</v>
      </c>
      <c r="F81" s="123"/>
    </row>
    <row r="82" spans="1:6" ht="12.75">
      <c r="A82" s="47" t="s">
        <v>234</v>
      </c>
      <c r="B82" s="122">
        <v>0</v>
      </c>
      <c r="C82" s="25"/>
      <c r="D82" s="26" t="str">
        <f t="shared" si="2"/>
        <v>   </v>
      </c>
      <c r="E82" s="49">
        <f t="shared" si="1"/>
        <v>0</v>
      </c>
      <c r="F82" s="123"/>
    </row>
    <row r="83" spans="1:6" ht="12.75">
      <c r="A83" s="47" t="s">
        <v>235</v>
      </c>
      <c r="B83" s="122">
        <v>0</v>
      </c>
      <c r="C83" s="25"/>
      <c r="D83" s="26" t="str">
        <f t="shared" si="2"/>
        <v>   </v>
      </c>
      <c r="E83" s="49">
        <f t="shared" si="1"/>
        <v>0</v>
      </c>
      <c r="F83" s="123"/>
    </row>
    <row r="84" spans="1:6" ht="12.75">
      <c r="A84" s="119" t="s">
        <v>227</v>
      </c>
      <c r="B84" s="240">
        <f>SUM(B85:B87)</f>
        <v>0</v>
      </c>
      <c r="C84" s="240">
        <f>SUM(C85:C87)</f>
        <v>0</v>
      </c>
      <c r="D84" s="26" t="str">
        <f t="shared" si="2"/>
        <v>   </v>
      </c>
      <c r="E84" s="49">
        <f t="shared" si="1"/>
        <v>0</v>
      </c>
      <c r="F84" s="123"/>
    </row>
    <row r="85" spans="1:6" ht="12.75">
      <c r="A85" s="47" t="s">
        <v>233</v>
      </c>
      <c r="B85" s="124">
        <v>0</v>
      </c>
      <c r="C85" s="25">
        <v>0</v>
      </c>
      <c r="D85" s="26" t="str">
        <f t="shared" si="2"/>
        <v>   </v>
      </c>
      <c r="E85" s="49">
        <f t="shared" si="1"/>
        <v>0</v>
      </c>
      <c r="F85" s="123"/>
    </row>
    <row r="86" spans="1:6" ht="12.75">
      <c r="A86" s="47" t="s">
        <v>234</v>
      </c>
      <c r="B86" s="124">
        <v>0</v>
      </c>
      <c r="C86" s="25">
        <v>0</v>
      </c>
      <c r="D86" s="26" t="str">
        <f t="shared" si="2"/>
        <v>   </v>
      </c>
      <c r="E86" s="49">
        <f t="shared" si="1"/>
        <v>0</v>
      </c>
      <c r="F86" s="123"/>
    </row>
    <row r="87" spans="1:6" ht="12.75">
      <c r="A87" s="47" t="s">
        <v>235</v>
      </c>
      <c r="B87" s="122">
        <v>0</v>
      </c>
      <c r="C87" s="25"/>
      <c r="D87" s="26" t="str">
        <f t="shared" si="2"/>
        <v>   </v>
      </c>
      <c r="E87" s="49">
        <f t="shared" si="1"/>
        <v>0</v>
      </c>
      <c r="F87" s="123"/>
    </row>
    <row r="88" spans="1:5" ht="38.25">
      <c r="A88" s="16" t="s">
        <v>220</v>
      </c>
      <c r="B88" s="25">
        <v>741900</v>
      </c>
      <c r="C88" s="25">
        <v>0</v>
      </c>
      <c r="D88" s="26">
        <f t="shared" si="2"/>
        <v>0</v>
      </c>
      <c r="E88" s="49">
        <f t="shared" si="1"/>
        <v>-741900</v>
      </c>
    </row>
    <row r="89" spans="1:5" ht="15.75">
      <c r="A89" s="164" t="s">
        <v>19</v>
      </c>
      <c r="B89" s="168">
        <f>SUM(B43,B50,B52,B54,B59,B63,B64,B68,B70,)</f>
        <v>4165900</v>
      </c>
      <c r="C89" s="168">
        <f>SUM(C43,C50,C52,C54,C59,C63,C64,C68,C70,)</f>
        <v>405799.68999999994</v>
      </c>
      <c r="D89" s="166">
        <f t="shared" si="2"/>
        <v>9.740984901221823</v>
      </c>
      <c r="E89" s="167">
        <f t="shared" si="1"/>
        <v>-3760100.31</v>
      </c>
    </row>
    <row r="90" spans="1:5" ht="13.5" thickBot="1">
      <c r="A90" s="98" t="s">
        <v>210</v>
      </c>
      <c r="B90" s="212">
        <f>B45+B66</f>
        <v>476900</v>
      </c>
      <c r="C90" s="212">
        <f>C45+C66</f>
        <v>81845.64</v>
      </c>
      <c r="D90" s="99">
        <f t="shared" si="2"/>
        <v>17.162013000629063</v>
      </c>
      <c r="E90" s="100">
        <f t="shared" si="1"/>
        <v>-395054.36</v>
      </c>
    </row>
    <row r="91" spans="1:5" s="76" customFormat="1" ht="23.25" customHeight="1">
      <c r="A91" s="110" t="s">
        <v>249</v>
      </c>
      <c r="B91" s="110"/>
      <c r="C91" s="250"/>
      <c r="D91" s="250"/>
      <c r="E91" s="250"/>
    </row>
    <row r="92" spans="1:5" s="76" customFormat="1" ht="12" customHeight="1">
      <c r="A92" s="110" t="s">
        <v>248</v>
      </c>
      <c r="B92" s="110"/>
      <c r="C92" s="111" t="s">
        <v>250</v>
      </c>
      <c r="D92" s="112"/>
      <c r="E92" s="113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</sheetData>
  <mergeCells count="2">
    <mergeCell ref="A1:E1"/>
    <mergeCell ref="C91:E9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70">
      <selection activeCell="B96" sqref="B96"/>
    </sheetView>
  </sheetViews>
  <sheetFormatPr defaultColWidth="9.00390625" defaultRowHeight="12.75"/>
  <cols>
    <col min="1" max="1" width="85.125" style="0" customWidth="1"/>
    <col min="2" max="2" width="15.125" style="0" customWidth="1"/>
    <col min="3" max="3" width="16.625" style="0" customWidth="1"/>
    <col min="4" max="4" width="17.375" style="0" customWidth="1"/>
    <col min="5" max="5" width="17.00390625" style="0" customWidth="1"/>
  </cols>
  <sheetData>
    <row r="1" spans="1:5" ht="18">
      <c r="A1" s="252" t="s">
        <v>312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5.25" customHeight="1" thickBot="1">
      <c r="A3" s="4"/>
      <c r="B3" s="4"/>
      <c r="C3" s="5"/>
      <c r="D3" s="4"/>
      <c r="E3" s="4" t="s">
        <v>0</v>
      </c>
    </row>
    <row r="4" spans="1:5" ht="67.5" customHeight="1">
      <c r="A4" s="35" t="s">
        <v>1</v>
      </c>
      <c r="B4" s="19" t="s">
        <v>282</v>
      </c>
      <c r="C4" s="32" t="s">
        <v>307</v>
      </c>
      <c r="D4" s="19" t="s">
        <v>274</v>
      </c>
      <c r="E4" s="101" t="s">
        <v>299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940100</v>
      </c>
      <c r="C7" s="191">
        <f>SUM(C8)</f>
        <v>211380.75</v>
      </c>
      <c r="D7" s="26">
        <f aca="true" t="shared" si="0" ref="D7:D75">IF(B7=0,"   ",C7/B7*100)</f>
        <v>22.484921816827995</v>
      </c>
      <c r="E7" s="49">
        <f aca="true" t="shared" si="1" ref="E7:E101">C7-B7</f>
        <v>-728719.25</v>
      </c>
    </row>
    <row r="8" spans="1:5" ht="12.75">
      <c r="A8" s="16" t="s">
        <v>57</v>
      </c>
      <c r="B8" s="25">
        <v>940100</v>
      </c>
      <c r="C8" s="27">
        <v>211380.75</v>
      </c>
      <c r="D8" s="26">
        <f t="shared" si="0"/>
        <v>22.484921816827995</v>
      </c>
      <c r="E8" s="49">
        <f t="shared" si="1"/>
        <v>-728719.25</v>
      </c>
    </row>
    <row r="9" spans="1:5" ht="12.75">
      <c r="A9" s="16" t="s">
        <v>7</v>
      </c>
      <c r="B9" s="193">
        <f>SUM(B10:B10)</f>
        <v>800</v>
      </c>
      <c r="C9" s="193">
        <f>C10</f>
        <v>350</v>
      </c>
      <c r="D9" s="26">
        <f t="shared" si="0"/>
        <v>43.75</v>
      </c>
      <c r="E9" s="49">
        <f t="shared" si="1"/>
        <v>-450</v>
      </c>
    </row>
    <row r="10" spans="1:5" ht="12.75">
      <c r="A10" s="16" t="s">
        <v>38</v>
      </c>
      <c r="B10" s="25">
        <v>800</v>
      </c>
      <c r="C10" s="33">
        <v>350</v>
      </c>
      <c r="D10" s="26">
        <f t="shared" si="0"/>
        <v>43.75</v>
      </c>
      <c r="E10" s="49">
        <f t="shared" si="1"/>
        <v>-450</v>
      </c>
    </row>
    <row r="11" spans="1:5" ht="12.75">
      <c r="A11" s="16" t="s">
        <v>9</v>
      </c>
      <c r="B11" s="193">
        <f>SUM(B12:B13)</f>
        <v>253800</v>
      </c>
      <c r="C11" s="193">
        <f>SUM(C12:C13)</f>
        <v>32448.93</v>
      </c>
      <c r="D11" s="26">
        <f t="shared" si="0"/>
        <v>12.785236406619385</v>
      </c>
      <c r="E11" s="49">
        <f t="shared" si="1"/>
        <v>-221351.07</v>
      </c>
    </row>
    <row r="12" spans="1:5" ht="12.75">
      <c r="A12" s="16" t="s">
        <v>39</v>
      </c>
      <c r="B12" s="25">
        <v>68400</v>
      </c>
      <c r="C12" s="27">
        <v>1626.42</v>
      </c>
      <c r="D12" s="26">
        <f t="shared" si="0"/>
        <v>2.3778070175438595</v>
      </c>
      <c r="E12" s="49">
        <f t="shared" si="1"/>
        <v>-66773.58</v>
      </c>
    </row>
    <row r="13" spans="1:5" ht="12.75">
      <c r="A13" s="16" t="s">
        <v>10</v>
      </c>
      <c r="B13" s="25">
        <v>185400</v>
      </c>
      <c r="C13" s="27">
        <v>30822.51</v>
      </c>
      <c r="D13" s="26">
        <f t="shared" si="0"/>
        <v>16.62487055016181</v>
      </c>
      <c r="E13" s="49">
        <f t="shared" si="1"/>
        <v>-154577.49</v>
      </c>
    </row>
    <row r="14" spans="1:5" ht="27" customHeight="1">
      <c r="A14" s="16" t="s">
        <v>127</v>
      </c>
      <c r="B14" s="25"/>
      <c r="C14" s="27">
        <v>0</v>
      </c>
      <c r="D14" s="26" t="str">
        <f t="shared" si="0"/>
        <v>   </v>
      </c>
      <c r="E14" s="49">
        <f t="shared" si="1"/>
        <v>0</v>
      </c>
    </row>
    <row r="15" spans="1:5" ht="26.25" customHeight="1">
      <c r="A15" s="16" t="s">
        <v>40</v>
      </c>
      <c r="B15" s="193">
        <f>B16+B17</f>
        <v>318400</v>
      </c>
      <c r="C15" s="193">
        <f>SUM(C16:C17)</f>
        <v>31619.95</v>
      </c>
      <c r="D15" s="26">
        <f t="shared" si="0"/>
        <v>9.930888819095477</v>
      </c>
      <c r="E15" s="49">
        <f t="shared" si="1"/>
        <v>-286780.05</v>
      </c>
    </row>
    <row r="16" spans="1:5" ht="12.75">
      <c r="A16" s="16" t="s">
        <v>41</v>
      </c>
      <c r="B16" s="25">
        <v>306300</v>
      </c>
      <c r="C16" s="27">
        <v>23255.41</v>
      </c>
      <c r="D16" s="26">
        <f t="shared" si="0"/>
        <v>7.592363695723147</v>
      </c>
      <c r="E16" s="49">
        <f t="shared" si="1"/>
        <v>-283044.59</v>
      </c>
    </row>
    <row r="17" spans="1:5" ht="25.5" customHeight="1">
      <c r="A17" s="16" t="s">
        <v>42</v>
      </c>
      <c r="B17" s="25">
        <v>12100</v>
      </c>
      <c r="C17" s="25">
        <v>8364.54</v>
      </c>
      <c r="D17" s="26">
        <f t="shared" si="0"/>
        <v>69.12842975206613</v>
      </c>
      <c r="E17" s="49">
        <f t="shared" si="1"/>
        <v>-3735.459999999999</v>
      </c>
    </row>
    <row r="18" spans="1:5" ht="16.5" customHeight="1">
      <c r="A18" s="42" t="s">
        <v>131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4.25" customHeight="1">
      <c r="A19" s="16" t="s">
        <v>104</v>
      </c>
      <c r="B19" s="193">
        <f>SUM(B20:B20)</f>
        <v>0</v>
      </c>
      <c r="C19" s="193">
        <f>SUM(C20:C20)</f>
        <v>0</v>
      </c>
      <c r="D19" s="26" t="str">
        <f t="shared" si="0"/>
        <v>   </v>
      </c>
      <c r="E19" s="49">
        <f t="shared" si="1"/>
        <v>0</v>
      </c>
    </row>
    <row r="20" spans="1:5" ht="26.25" customHeight="1">
      <c r="A20" s="16" t="s">
        <v>105</v>
      </c>
      <c r="B20" s="25">
        <v>0</v>
      </c>
      <c r="C20" s="25">
        <v>0</v>
      </c>
      <c r="D20" s="26" t="str">
        <f t="shared" si="0"/>
        <v>   </v>
      </c>
      <c r="E20" s="49">
        <f t="shared" si="1"/>
        <v>0</v>
      </c>
    </row>
    <row r="21" spans="1:5" ht="17.25" customHeight="1">
      <c r="A21" s="16" t="s">
        <v>43</v>
      </c>
      <c r="B21" s="25">
        <v>0</v>
      </c>
      <c r="C21" s="25">
        <v>0</v>
      </c>
      <c r="D21" s="26"/>
      <c r="E21" s="49">
        <f t="shared" si="1"/>
        <v>0</v>
      </c>
    </row>
    <row r="22" spans="1:5" ht="12.75">
      <c r="A22" s="16" t="s">
        <v>44</v>
      </c>
      <c r="B22" s="193">
        <f>B23+B24</f>
        <v>0</v>
      </c>
      <c r="C22" s="191">
        <f>C23+C24</f>
        <v>0</v>
      </c>
      <c r="D22" s="26" t="str">
        <f t="shared" si="0"/>
        <v>   </v>
      </c>
      <c r="E22" s="49">
        <f t="shared" si="1"/>
        <v>0</v>
      </c>
    </row>
    <row r="23" spans="1:5" ht="13.5" customHeight="1">
      <c r="A23" s="16" t="s">
        <v>219</v>
      </c>
      <c r="B23" s="25">
        <v>0</v>
      </c>
      <c r="C23" s="27">
        <v>0</v>
      </c>
      <c r="D23" s="26" t="str">
        <f t="shared" si="0"/>
        <v>   </v>
      </c>
      <c r="E23" s="49">
        <f t="shared" si="1"/>
        <v>0</v>
      </c>
    </row>
    <row r="24" spans="1:5" ht="13.5" customHeight="1">
      <c r="A24" s="16" t="s">
        <v>256</v>
      </c>
      <c r="B24" s="25">
        <v>0</v>
      </c>
      <c r="C24" s="27">
        <v>0</v>
      </c>
      <c r="D24" s="26"/>
      <c r="E24" s="49"/>
    </row>
    <row r="25" spans="1:5" ht="14.25" customHeight="1">
      <c r="A25" s="16" t="s">
        <v>135</v>
      </c>
      <c r="B25" s="25">
        <v>0</v>
      </c>
      <c r="C25" s="24">
        <v>0</v>
      </c>
      <c r="D25" s="26" t="str">
        <f t="shared" si="0"/>
        <v>   </v>
      </c>
      <c r="E25" s="49">
        <f t="shared" si="1"/>
        <v>0</v>
      </c>
    </row>
    <row r="26" spans="1:5" ht="15" customHeight="1">
      <c r="A26" s="164" t="s">
        <v>11</v>
      </c>
      <c r="B26" s="217">
        <f>SUM(B7,B9,B11,B14,B15,B18,B19,B21,B22,B25,)</f>
        <v>1513100</v>
      </c>
      <c r="C26" s="217">
        <f>SUM(C7,C9,C11,C14,C15,C18,C19,C21,C22,C25,)</f>
        <v>275799.63</v>
      </c>
      <c r="D26" s="166">
        <f t="shared" si="0"/>
        <v>18.22745555482123</v>
      </c>
      <c r="E26" s="167">
        <f t="shared" si="1"/>
        <v>-1237300.37</v>
      </c>
    </row>
    <row r="27" spans="1:5" ht="15.75" customHeight="1">
      <c r="A27" s="17" t="s">
        <v>46</v>
      </c>
      <c r="B27" s="24">
        <v>2226500</v>
      </c>
      <c r="C27" s="24">
        <v>534600</v>
      </c>
      <c r="D27" s="26">
        <f t="shared" si="0"/>
        <v>24.01077924994386</v>
      </c>
      <c r="E27" s="49">
        <f t="shared" si="1"/>
        <v>-1691900</v>
      </c>
    </row>
    <row r="28" spans="1:5" ht="16.5" customHeight="1">
      <c r="A28" s="16" t="s">
        <v>63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28.5" customHeight="1">
      <c r="A29" s="200" t="s">
        <v>67</v>
      </c>
      <c r="B29" s="201">
        <v>127000</v>
      </c>
      <c r="C29" s="201">
        <v>125700</v>
      </c>
      <c r="D29" s="202">
        <f t="shared" si="0"/>
        <v>98.9763779527559</v>
      </c>
      <c r="E29" s="203">
        <f t="shared" si="1"/>
        <v>-1300</v>
      </c>
    </row>
    <row r="30" spans="1:5" ht="27" customHeight="1">
      <c r="A30" s="16" t="s">
        <v>68</v>
      </c>
      <c r="B30" s="25">
        <v>100</v>
      </c>
      <c r="C30" s="27">
        <v>0</v>
      </c>
      <c r="D30" s="26">
        <f t="shared" si="0"/>
        <v>0</v>
      </c>
      <c r="E30" s="49">
        <f t="shared" si="1"/>
        <v>-100</v>
      </c>
    </row>
    <row r="31" spans="1:5" ht="41.25" customHeight="1">
      <c r="A31" s="16" t="s">
        <v>108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41.25" customHeight="1">
      <c r="A32" s="16" t="s">
        <v>257</v>
      </c>
      <c r="B32" s="25">
        <v>0</v>
      </c>
      <c r="C32" s="27">
        <v>0</v>
      </c>
      <c r="D32" s="26" t="str">
        <f t="shared" si="0"/>
        <v>   </v>
      </c>
      <c r="E32" s="49">
        <f t="shared" si="1"/>
        <v>0</v>
      </c>
    </row>
    <row r="33" spans="1:5" ht="29.25" customHeight="1">
      <c r="A33" s="16" t="s">
        <v>170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12.75" customHeight="1">
      <c r="A34" s="16" t="s">
        <v>75</v>
      </c>
      <c r="B34" s="25">
        <v>230300</v>
      </c>
      <c r="C34" s="25">
        <v>0</v>
      </c>
      <c r="D34" s="26">
        <f t="shared" si="0"/>
        <v>0</v>
      </c>
      <c r="E34" s="49">
        <f t="shared" si="1"/>
        <v>-230300</v>
      </c>
    </row>
    <row r="35" spans="1:5" ht="25.5" customHeight="1">
      <c r="A35" s="200" t="s">
        <v>149</v>
      </c>
      <c r="B35" s="201">
        <v>6600</v>
      </c>
      <c r="C35" s="201">
        <v>0</v>
      </c>
      <c r="D35" s="202">
        <f t="shared" si="0"/>
        <v>0</v>
      </c>
      <c r="E35" s="203">
        <f t="shared" si="1"/>
        <v>-6600</v>
      </c>
    </row>
    <row r="36" spans="1:5" ht="18" customHeight="1">
      <c r="A36" s="16" t="s">
        <v>72</v>
      </c>
      <c r="B36" s="193">
        <f>B37</f>
        <v>581600</v>
      </c>
      <c r="C36" s="193">
        <f>C37</f>
        <v>0</v>
      </c>
      <c r="D36" s="26">
        <f t="shared" si="0"/>
        <v>0</v>
      </c>
      <c r="E36" s="49">
        <f t="shared" si="1"/>
        <v>-581600</v>
      </c>
    </row>
    <row r="37" spans="1:5" s="7" customFormat="1" ht="14.25" customHeight="1">
      <c r="A37" s="16" t="s">
        <v>180</v>
      </c>
      <c r="B37" s="64">
        <v>581600</v>
      </c>
      <c r="C37" s="25">
        <v>0</v>
      </c>
      <c r="D37" s="64">
        <f t="shared" si="0"/>
        <v>0</v>
      </c>
      <c r="E37" s="43">
        <f t="shared" si="1"/>
        <v>-581600</v>
      </c>
    </row>
    <row r="38" spans="1:5" s="7" customFormat="1" ht="14.25" customHeight="1">
      <c r="A38" s="16" t="s">
        <v>264</v>
      </c>
      <c r="B38" s="64"/>
      <c r="C38" s="25"/>
      <c r="D38" s="64"/>
      <c r="E38" s="43"/>
    </row>
    <row r="39" spans="1:5" ht="39" customHeight="1">
      <c r="A39" s="16" t="s">
        <v>154</v>
      </c>
      <c r="B39" s="25">
        <v>0</v>
      </c>
      <c r="C39" s="25">
        <v>0</v>
      </c>
      <c r="D39" s="26" t="str">
        <f t="shared" si="0"/>
        <v>   </v>
      </c>
      <c r="E39" s="49">
        <f t="shared" si="1"/>
        <v>0</v>
      </c>
    </row>
    <row r="40" spans="1:5" ht="23.25" customHeight="1">
      <c r="A40" s="164" t="s">
        <v>14</v>
      </c>
      <c r="B40" s="168">
        <f>SUM(B26,B27,B28:B36,B39,)</f>
        <v>4685200</v>
      </c>
      <c r="C40" s="168">
        <f>SUM(C26,C27,C28:C36,C39,)</f>
        <v>936099.63</v>
      </c>
      <c r="D40" s="166">
        <f t="shared" si="0"/>
        <v>19.97992892512593</v>
      </c>
      <c r="E40" s="167">
        <f t="shared" si="1"/>
        <v>-3749100.37</v>
      </c>
    </row>
    <row r="41" spans="1:5" ht="12.75">
      <c r="A41" s="22" t="s">
        <v>15</v>
      </c>
      <c r="B41" s="51"/>
      <c r="C41" s="52"/>
      <c r="D41" s="26" t="str">
        <f t="shared" si="0"/>
        <v>   </v>
      </c>
      <c r="E41" s="49"/>
    </row>
    <row r="42" spans="1:5" ht="12.75">
      <c r="A42" s="16" t="s">
        <v>48</v>
      </c>
      <c r="B42" s="25">
        <v>782700</v>
      </c>
      <c r="C42" s="25">
        <v>158167.2</v>
      </c>
      <c r="D42" s="26">
        <f t="shared" si="0"/>
        <v>20.20789574549636</v>
      </c>
      <c r="E42" s="49">
        <f t="shared" si="1"/>
        <v>-624532.8</v>
      </c>
    </row>
    <row r="43" spans="1:5" ht="12.75" customHeight="1">
      <c r="A43" s="16" t="s">
        <v>49</v>
      </c>
      <c r="B43" s="25">
        <v>755200</v>
      </c>
      <c r="C43" s="25">
        <v>158167.2</v>
      </c>
      <c r="D43" s="26">
        <f t="shared" si="0"/>
        <v>20.94375</v>
      </c>
      <c r="E43" s="49">
        <f t="shared" si="1"/>
        <v>-597032.8</v>
      </c>
    </row>
    <row r="44" spans="1:5" ht="12.75">
      <c r="A44" s="118" t="s">
        <v>207</v>
      </c>
      <c r="B44" s="25">
        <v>476900</v>
      </c>
      <c r="C44" s="28">
        <v>107315.56</v>
      </c>
      <c r="D44" s="26">
        <f t="shared" si="0"/>
        <v>22.502738519605785</v>
      </c>
      <c r="E44" s="49">
        <f t="shared" si="1"/>
        <v>-369584.44</v>
      </c>
    </row>
    <row r="45" spans="1:5" ht="12.75">
      <c r="A45" s="16" t="s">
        <v>181</v>
      </c>
      <c r="B45" s="25">
        <v>100</v>
      </c>
      <c r="C45" s="28">
        <v>0</v>
      </c>
      <c r="D45" s="26">
        <f t="shared" si="0"/>
        <v>0</v>
      </c>
      <c r="E45" s="49">
        <f t="shared" si="1"/>
        <v>-100</v>
      </c>
    </row>
    <row r="46" spans="1:5" ht="12.75">
      <c r="A46" s="16" t="s">
        <v>141</v>
      </c>
      <c r="B46" s="25">
        <v>500</v>
      </c>
      <c r="C46" s="27">
        <v>0</v>
      </c>
      <c r="D46" s="26">
        <f t="shared" si="0"/>
        <v>0</v>
      </c>
      <c r="E46" s="49">
        <f t="shared" si="1"/>
        <v>-500</v>
      </c>
    </row>
    <row r="47" spans="1:5" ht="12.75">
      <c r="A47" s="16" t="s">
        <v>69</v>
      </c>
      <c r="B47" s="193">
        <f>B48</f>
        <v>27000</v>
      </c>
      <c r="C47" s="193">
        <f>C48</f>
        <v>0</v>
      </c>
      <c r="D47" s="26"/>
      <c r="E47" s="49"/>
    </row>
    <row r="48" spans="1:5" ht="25.5">
      <c r="A48" s="16" t="s">
        <v>85</v>
      </c>
      <c r="B48" s="25">
        <v>27000</v>
      </c>
      <c r="C48" s="27">
        <v>0</v>
      </c>
      <c r="D48" s="26"/>
      <c r="E48" s="49"/>
    </row>
    <row r="49" spans="1:5" ht="12.75">
      <c r="A49" s="16" t="s">
        <v>65</v>
      </c>
      <c r="B49" s="194">
        <f>SUM(B50)</f>
        <v>127000</v>
      </c>
      <c r="C49" s="194">
        <f>SUM(C50)</f>
        <v>17442.28</v>
      </c>
      <c r="D49" s="26">
        <f t="shared" si="0"/>
        <v>13.734078740157479</v>
      </c>
      <c r="E49" s="49">
        <f t="shared" si="1"/>
        <v>-109557.72</v>
      </c>
    </row>
    <row r="50" spans="1:5" ht="12" customHeight="1">
      <c r="A50" s="16" t="s">
        <v>176</v>
      </c>
      <c r="B50" s="25">
        <v>127000</v>
      </c>
      <c r="C50" s="27">
        <v>17442.28</v>
      </c>
      <c r="D50" s="26">
        <f t="shared" si="0"/>
        <v>13.734078740157479</v>
      </c>
      <c r="E50" s="49">
        <f t="shared" si="1"/>
        <v>-109557.72</v>
      </c>
    </row>
    <row r="51" spans="1:5" ht="12.75">
      <c r="A51" s="16" t="s">
        <v>50</v>
      </c>
      <c r="B51" s="193">
        <f>SUM(B52)</f>
        <v>1200</v>
      </c>
      <c r="C51" s="194">
        <f>SUM(C52)</f>
        <v>0</v>
      </c>
      <c r="D51" s="26">
        <f t="shared" si="0"/>
        <v>0</v>
      </c>
      <c r="E51" s="49">
        <f t="shared" si="1"/>
        <v>-1200</v>
      </c>
    </row>
    <row r="52" spans="1:5" ht="12.75" customHeight="1">
      <c r="A52" s="47" t="s">
        <v>129</v>
      </c>
      <c r="B52" s="25">
        <v>1200</v>
      </c>
      <c r="C52" s="27">
        <v>0</v>
      </c>
      <c r="D52" s="26">
        <f t="shared" si="0"/>
        <v>0</v>
      </c>
      <c r="E52" s="49">
        <f t="shared" si="1"/>
        <v>-1200</v>
      </c>
    </row>
    <row r="53" spans="1:5" ht="15.75" customHeight="1">
      <c r="A53" s="16" t="s">
        <v>51</v>
      </c>
      <c r="B53" s="27">
        <f>B54</f>
        <v>731600</v>
      </c>
      <c r="C53" s="27">
        <f>C54</f>
        <v>42000</v>
      </c>
      <c r="D53" s="26">
        <f t="shared" si="0"/>
        <v>5.740841990158557</v>
      </c>
      <c r="E53" s="49">
        <f t="shared" si="1"/>
        <v>-689600</v>
      </c>
    </row>
    <row r="54" spans="1:5" ht="15.75" customHeight="1">
      <c r="A54" s="145" t="s">
        <v>285</v>
      </c>
      <c r="B54" s="175">
        <f>B55+B56+B57</f>
        <v>731600</v>
      </c>
      <c r="C54" s="27">
        <f>C55+C56+C57</f>
        <v>42000</v>
      </c>
      <c r="D54" s="26"/>
      <c r="E54" s="49"/>
    </row>
    <row r="55" spans="1:5" ht="39" customHeight="1">
      <c r="A55" s="103" t="s">
        <v>331</v>
      </c>
      <c r="B55" s="25">
        <v>414300</v>
      </c>
      <c r="C55" s="27">
        <v>0</v>
      </c>
      <c r="D55" s="26"/>
      <c r="E55" s="49"/>
    </row>
    <row r="56" spans="1:5" ht="32.25" customHeight="1">
      <c r="A56" s="91" t="s">
        <v>286</v>
      </c>
      <c r="B56" s="179">
        <v>167300</v>
      </c>
      <c r="C56" s="27">
        <v>0</v>
      </c>
      <c r="D56" s="26"/>
      <c r="E56" s="49"/>
    </row>
    <row r="57" spans="1:5" ht="36.75" customHeight="1">
      <c r="A57" s="91" t="s">
        <v>287</v>
      </c>
      <c r="B57" s="171">
        <v>150000</v>
      </c>
      <c r="C57" s="27">
        <v>42000</v>
      </c>
      <c r="D57" s="26"/>
      <c r="E57" s="49"/>
    </row>
    <row r="58" spans="1:5" ht="26.25" customHeight="1">
      <c r="A58" s="16" t="s">
        <v>16</v>
      </c>
      <c r="B58" s="193">
        <f>SUM(B59,B61,B62,)</f>
        <v>365060</v>
      </c>
      <c r="C58" s="193">
        <f>SUM(C59,C61,C62,)</f>
        <v>118000</v>
      </c>
      <c r="D58" s="26">
        <f t="shared" si="0"/>
        <v>32.323453678847315</v>
      </c>
      <c r="E58" s="49">
        <f t="shared" si="1"/>
        <v>-247060</v>
      </c>
    </row>
    <row r="59" spans="1:5" ht="12.75">
      <c r="A59" s="16" t="s">
        <v>17</v>
      </c>
      <c r="B59" s="193">
        <f>SUM(B60:B60)</f>
        <v>192000</v>
      </c>
      <c r="C59" s="193">
        <f>SUM(C60:C60)</f>
        <v>0</v>
      </c>
      <c r="D59" s="26">
        <f t="shared" si="0"/>
        <v>0</v>
      </c>
      <c r="E59" s="49">
        <f t="shared" si="1"/>
        <v>-192000</v>
      </c>
    </row>
    <row r="60" spans="1:5" ht="15.75" customHeight="1">
      <c r="A60" s="16" t="s">
        <v>144</v>
      </c>
      <c r="B60" s="25">
        <v>192000</v>
      </c>
      <c r="C60" s="27">
        <v>0</v>
      </c>
      <c r="D60" s="26">
        <f t="shared" si="0"/>
        <v>0</v>
      </c>
      <c r="E60" s="49">
        <f t="shared" si="1"/>
        <v>-192000</v>
      </c>
    </row>
    <row r="61" spans="1:5" ht="12.75">
      <c r="A61" s="16" t="s">
        <v>130</v>
      </c>
      <c r="B61" s="25">
        <v>0</v>
      </c>
      <c r="C61" s="27">
        <v>0</v>
      </c>
      <c r="D61" s="26" t="str">
        <f t="shared" si="0"/>
        <v>   </v>
      </c>
      <c r="E61" s="49">
        <f t="shared" si="1"/>
        <v>0</v>
      </c>
    </row>
    <row r="62" spans="1:5" ht="12.75">
      <c r="A62" s="16" t="s">
        <v>92</v>
      </c>
      <c r="B62" s="25">
        <v>173060</v>
      </c>
      <c r="C62" s="25">
        <v>118000</v>
      </c>
      <c r="D62" s="26">
        <f t="shared" si="0"/>
        <v>68.18444470125968</v>
      </c>
      <c r="E62" s="49">
        <f t="shared" si="1"/>
        <v>-55060</v>
      </c>
    </row>
    <row r="63" spans="1:5" ht="12.75">
      <c r="A63" s="16" t="s">
        <v>77</v>
      </c>
      <c r="B63" s="25">
        <v>163200</v>
      </c>
      <c r="C63" s="27">
        <v>118000</v>
      </c>
      <c r="D63" s="26">
        <f t="shared" si="0"/>
        <v>72.30392156862744</v>
      </c>
      <c r="E63" s="49">
        <f t="shared" si="1"/>
        <v>-45200</v>
      </c>
    </row>
    <row r="64" spans="1:5" ht="12.75">
      <c r="A64" s="16" t="s">
        <v>78</v>
      </c>
      <c r="B64" s="25">
        <v>9860</v>
      </c>
      <c r="C64" s="27">
        <v>0</v>
      </c>
      <c r="D64" s="26">
        <f t="shared" si="0"/>
        <v>0</v>
      </c>
      <c r="E64" s="49">
        <f t="shared" si="1"/>
        <v>-9860</v>
      </c>
    </row>
    <row r="65" spans="1:5" ht="15">
      <c r="A65" s="18" t="s">
        <v>24</v>
      </c>
      <c r="B65" s="31">
        <v>20000</v>
      </c>
      <c r="C65" s="31">
        <v>0</v>
      </c>
      <c r="D65" s="26">
        <f t="shared" si="0"/>
        <v>0</v>
      </c>
      <c r="E65" s="49">
        <f t="shared" si="1"/>
        <v>-20000</v>
      </c>
    </row>
    <row r="66" spans="1:5" ht="12.75">
      <c r="A66" s="16" t="s">
        <v>54</v>
      </c>
      <c r="B66" s="191">
        <f>SUM(B67,)</f>
        <v>2288740</v>
      </c>
      <c r="C66" s="191">
        <f>SUM(C67,)</f>
        <v>411000</v>
      </c>
      <c r="D66" s="26">
        <f t="shared" si="0"/>
        <v>17.957478787455106</v>
      </c>
      <c r="E66" s="49">
        <f t="shared" si="1"/>
        <v>-1877740</v>
      </c>
    </row>
    <row r="67" spans="1:5" ht="17.25" customHeight="1">
      <c r="A67" s="16" t="s">
        <v>55</v>
      </c>
      <c r="B67" s="25">
        <v>2288740</v>
      </c>
      <c r="C67" s="27">
        <v>411000</v>
      </c>
      <c r="D67" s="26">
        <f t="shared" si="0"/>
        <v>17.957478787455106</v>
      </c>
      <c r="E67" s="49">
        <f t="shared" si="1"/>
        <v>-1877740</v>
      </c>
    </row>
    <row r="68" spans="1:5" ht="15.75" customHeight="1">
      <c r="A68" s="118" t="s">
        <v>207</v>
      </c>
      <c r="B68" s="25">
        <v>0</v>
      </c>
      <c r="C68" s="27">
        <v>0</v>
      </c>
      <c r="D68" s="26" t="str">
        <f t="shared" si="0"/>
        <v>   </v>
      </c>
      <c r="E68" s="49">
        <f t="shared" si="1"/>
        <v>0</v>
      </c>
    </row>
    <row r="69" spans="1:5" ht="12.75">
      <c r="A69" s="16" t="s">
        <v>177</v>
      </c>
      <c r="B69" s="25">
        <v>6600</v>
      </c>
      <c r="C69" s="27">
        <v>0</v>
      </c>
      <c r="D69" s="26">
        <f t="shared" si="0"/>
        <v>0</v>
      </c>
      <c r="E69" s="49">
        <f t="shared" si="1"/>
        <v>-6600</v>
      </c>
    </row>
    <row r="70" spans="1:5" ht="12.75">
      <c r="A70" s="16" t="s">
        <v>214</v>
      </c>
      <c r="B70" s="193">
        <f>SUM(B71,)</f>
        <v>20000</v>
      </c>
      <c r="C70" s="193">
        <f>SUM(C71,)</f>
        <v>0</v>
      </c>
      <c r="D70" s="26">
        <f t="shared" si="0"/>
        <v>0</v>
      </c>
      <c r="E70" s="49">
        <f t="shared" si="1"/>
        <v>-20000</v>
      </c>
    </row>
    <row r="71" spans="1:5" ht="12.75" customHeight="1">
      <c r="A71" s="16" t="s">
        <v>56</v>
      </c>
      <c r="B71" s="25">
        <v>20000</v>
      </c>
      <c r="C71" s="28">
        <v>0</v>
      </c>
      <c r="D71" s="26">
        <f t="shared" si="0"/>
        <v>0</v>
      </c>
      <c r="E71" s="49">
        <f t="shared" si="1"/>
        <v>-20000</v>
      </c>
    </row>
    <row r="72" spans="1:5" ht="12.75">
      <c r="A72" s="16" t="s">
        <v>18</v>
      </c>
      <c r="B72" s="193">
        <f>B73</f>
        <v>421700</v>
      </c>
      <c r="C72" s="193">
        <f>C73</f>
        <v>0</v>
      </c>
      <c r="D72" s="26">
        <f t="shared" si="0"/>
        <v>0</v>
      </c>
      <c r="E72" s="49">
        <f t="shared" si="1"/>
        <v>-421700</v>
      </c>
    </row>
    <row r="73" spans="1:5" ht="12.75">
      <c r="A73" s="16" t="s">
        <v>223</v>
      </c>
      <c r="B73" s="193">
        <f>SUM(B94,B87,B78,B74,B99)</f>
        <v>421700</v>
      </c>
      <c r="C73" s="193">
        <f>SUM(C94,C87,C78,C74+C99)</f>
        <v>0</v>
      </c>
      <c r="D73" s="26"/>
      <c r="E73" s="49"/>
    </row>
    <row r="74" spans="1:5" ht="12.75">
      <c r="A74" s="119" t="s">
        <v>152</v>
      </c>
      <c r="B74" s="120">
        <v>0</v>
      </c>
      <c r="C74" s="120">
        <v>0</v>
      </c>
      <c r="D74" s="26" t="str">
        <f t="shared" si="0"/>
        <v>   </v>
      </c>
      <c r="E74" s="49">
        <f t="shared" si="1"/>
        <v>0</v>
      </c>
    </row>
    <row r="75" spans="1:5" ht="12.75">
      <c r="A75" s="16" t="s">
        <v>168</v>
      </c>
      <c r="B75" s="193">
        <f>B76+B77</f>
        <v>0</v>
      </c>
      <c r="C75" s="193">
        <f>C76+C77</f>
        <v>0</v>
      </c>
      <c r="D75" s="26" t="str">
        <f t="shared" si="0"/>
        <v>   </v>
      </c>
      <c r="E75" s="49">
        <f t="shared" si="1"/>
        <v>0</v>
      </c>
    </row>
    <row r="76" spans="1:5" ht="12.75">
      <c r="A76" s="16" t="s">
        <v>100</v>
      </c>
      <c r="B76" s="25">
        <v>0</v>
      </c>
      <c r="C76" s="25">
        <v>0</v>
      </c>
      <c r="D76" s="26" t="str">
        <f>IF(B76=0,"   ",C76/B76*100)</f>
        <v>   </v>
      </c>
      <c r="E76" s="49">
        <f t="shared" si="1"/>
        <v>0</v>
      </c>
    </row>
    <row r="77" spans="1:5" ht="12.75">
      <c r="A77" s="16" t="s">
        <v>112</v>
      </c>
      <c r="B77" s="25">
        <v>0</v>
      </c>
      <c r="C77" s="25">
        <v>0</v>
      </c>
      <c r="D77" s="26" t="str">
        <f>IF(B77=0,"   ",C77/B77*100)</f>
        <v>   </v>
      </c>
      <c r="E77" s="49">
        <f t="shared" si="1"/>
        <v>0</v>
      </c>
    </row>
    <row r="78" spans="1:5" ht="12.75">
      <c r="A78" s="119" t="s">
        <v>252</v>
      </c>
      <c r="B78" s="198">
        <f>SUM(B79,B83)</f>
        <v>0</v>
      </c>
      <c r="C78" s="198">
        <f>SUM(C79,C83)</f>
        <v>0</v>
      </c>
      <c r="D78" s="26" t="str">
        <f>IF(B78=0,"   ",C78/B78*100)</f>
        <v>   </v>
      </c>
      <c r="E78" s="49">
        <f t="shared" si="1"/>
        <v>0</v>
      </c>
    </row>
    <row r="79" spans="1:5" ht="25.5">
      <c r="A79" s="16" t="s">
        <v>226</v>
      </c>
      <c r="B79" s="193">
        <f>SUM(B80:B82)</f>
        <v>0</v>
      </c>
      <c r="C79" s="193">
        <f>SUM(C80:C82)</f>
        <v>0</v>
      </c>
      <c r="D79" s="26" t="str">
        <f>IF(B79=0,"   ",C79/B79*100)</f>
        <v>   </v>
      </c>
      <c r="E79" s="49">
        <f>C79-B79</f>
        <v>0</v>
      </c>
    </row>
    <row r="80" spans="1:5" ht="18" customHeight="1">
      <c r="A80" s="47" t="s">
        <v>233</v>
      </c>
      <c r="B80" s="25">
        <v>0</v>
      </c>
      <c r="C80" s="27"/>
      <c r="D80" s="26" t="str">
        <f aca="true" t="shared" si="2" ref="D80:D99">IF(B80=0,"   ",C80/B80*100)</f>
        <v>   </v>
      </c>
      <c r="E80" s="49">
        <f aca="true" t="shared" si="3" ref="E80:E99">C80-B80</f>
        <v>0</v>
      </c>
    </row>
    <row r="81" spans="1:5" ht="13.5" customHeight="1">
      <c r="A81" s="47" t="s">
        <v>234</v>
      </c>
      <c r="B81" s="25">
        <v>0</v>
      </c>
      <c r="C81" s="27"/>
      <c r="D81" s="26" t="str">
        <f t="shared" si="2"/>
        <v>   </v>
      </c>
      <c r="E81" s="49">
        <f t="shared" si="3"/>
        <v>0</v>
      </c>
    </row>
    <row r="82" spans="1:5" ht="13.5" customHeight="1">
      <c r="A82" s="47" t="s">
        <v>235</v>
      </c>
      <c r="B82" s="25">
        <v>0</v>
      </c>
      <c r="C82" s="27"/>
      <c r="D82" s="26" t="str">
        <f t="shared" si="2"/>
        <v>   </v>
      </c>
      <c r="E82" s="49">
        <f t="shared" si="3"/>
        <v>0</v>
      </c>
    </row>
    <row r="83" spans="1:5" ht="13.5" customHeight="1">
      <c r="A83" s="16" t="s">
        <v>225</v>
      </c>
      <c r="B83" s="193">
        <f>SUM(B84:B86)</f>
        <v>0</v>
      </c>
      <c r="C83" s="193">
        <f>SUM(C84:C86)</f>
        <v>0</v>
      </c>
      <c r="D83" s="26" t="str">
        <f t="shared" si="2"/>
        <v>   </v>
      </c>
      <c r="E83" s="49">
        <f t="shared" si="3"/>
        <v>0</v>
      </c>
    </row>
    <row r="84" spans="1:5" ht="13.5" customHeight="1">
      <c r="A84" s="47" t="s">
        <v>233</v>
      </c>
      <c r="B84" s="25">
        <v>0</v>
      </c>
      <c r="C84" s="27"/>
      <c r="D84" s="26" t="str">
        <f t="shared" si="2"/>
        <v>   </v>
      </c>
      <c r="E84" s="49">
        <f t="shared" si="3"/>
        <v>0</v>
      </c>
    </row>
    <row r="85" spans="1:5" ht="16.5" customHeight="1">
      <c r="A85" s="47" t="s">
        <v>234</v>
      </c>
      <c r="B85" s="25">
        <v>0</v>
      </c>
      <c r="C85" s="27"/>
      <c r="D85" s="26" t="str">
        <f t="shared" si="2"/>
        <v>   </v>
      </c>
      <c r="E85" s="49">
        <f t="shared" si="3"/>
        <v>0</v>
      </c>
    </row>
    <row r="86" spans="1:5" ht="16.5" customHeight="1">
      <c r="A86" s="47" t="s">
        <v>235</v>
      </c>
      <c r="B86" s="25">
        <v>0</v>
      </c>
      <c r="C86" s="27"/>
      <c r="D86" s="26" t="str">
        <f t="shared" si="2"/>
        <v>   </v>
      </c>
      <c r="E86" s="49">
        <f t="shared" si="3"/>
        <v>0</v>
      </c>
    </row>
    <row r="87" spans="1:5" ht="16.5" customHeight="1">
      <c r="A87" s="119" t="s">
        <v>253</v>
      </c>
      <c r="B87" s="198">
        <f>SUM(B88,B91)</f>
        <v>0</v>
      </c>
      <c r="C87" s="198">
        <f>SUM(C88,C91)</f>
        <v>0</v>
      </c>
      <c r="D87" s="26" t="str">
        <f t="shared" si="2"/>
        <v>   </v>
      </c>
      <c r="E87" s="49">
        <f t="shared" si="3"/>
        <v>0</v>
      </c>
    </row>
    <row r="88" spans="1:5" ht="16.5" customHeight="1">
      <c r="A88" s="16" t="s">
        <v>226</v>
      </c>
      <c r="B88" s="193">
        <f>SUM(B89:B90)</f>
        <v>0</v>
      </c>
      <c r="C88" s="193">
        <f>SUM(C89:C90)</f>
        <v>0</v>
      </c>
      <c r="D88" s="26" t="str">
        <f t="shared" si="2"/>
        <v>   </v>
      </c>
      <c r="E88" s="49">
        <f t="shared" si="3"/>
        <v>0</v>
      </c>
    </row>
    <row r="89" spans="1:5" ht="12.75">
      <c r="A89" s="47" t="s">
        <v>234</v>
      </c>
      <c r="B89" s="25">
        <v>0</v>
      </c>
      <c r="C89" s="27"/>
      <c r="D89" s="26" t="str">
        <f t="shared" si="2"/>
        <v>   </v>
      </c>
      <c r="E89" s="49">
        <f t="shared" si="3"/>
        <v>0</v>
      </c>
    </row>
    <row r="90" spans="1:5" ht="12.75">
      <c r="A90" s="47" t="s">
        <v>235</v>
      </c>
      <c r="B90" s="25">
        <v>0</v>
      </c>
      <c r="C90" s="27"/>
      <c r="D90" s="26" t="str">
        <f t="shared" si="2"/>
        <v>   </v>
      </c>
      <c r="E90" s="49">
        <f t="shared" si="3"/>
        <v>0</v>
      </c>
    </row>
    <row r="91" spans="1:5" ht="25.5">
      <c r="A91" s="16" t="s">
        <v>225</v>
      </c>
      <c r="B91" s="193">
        <f>SUM(B92:B93)</f>
        <v>0</v>
      </c>
      <c r="C91" s="25">
        <f>SUM(C92:C93)</f>
        <v>0</v>
      </c>
      <c r="D91" s="26" t="str">
        <f t="shared" si="2"/>
        <v>   </v>
      </c>
      <c r="E91" s="49">
        <f t="shared" si="3"/>
        <v>0</v>
      </c>
    </row>
    <row r="92" spans="1:5" ht="12.75">
      <c r="A92" s="47" t="s">
        <v>234</v>
      </c>
      <c r="B92" s="25">
        <v>0</v>
      </c>
      <c r="C92" s="27"/>
      <c r="D92" s="26" t="str">
        <f t="shared" si="2"/>
        <v>   </v>
      </c>
      <c r="E92" s="49">
        <f t="shared" si="3"/>
        <v>0</v>
      </c>
    </row>
    <row r="93" spans="1:5" ht="12.75">
      <c r="A93" s="47" t="s">
        <v>235</v>
      </c>
      <c r="B93" s="25">
        <v>0</v>
      </c>
      <c r="C93" s="27"/>
      <c r="D93" s="26" t="str">
        <f t="shared" si="2"/>
        <v>   </v>
      </c>
      <c r="E93" s="49">
        <f t="shared" si="3"/>
        <v>0</v>
      </c>
    </row>
    <row r="94" spans="1:5" ht="12.75">
      <c r="A94" s="119" t="s">
        <v>232</v>
      </c>
      <c r="B94" s="198">
        <f>SUM(B95:B97)</f>
        <v>421700</v>
      </c>
      <c r="C94" s="198">
        <f>SUM(C95:C97)</f>
        <v>0</v>
      </c>
      <c r="D94" s="26">
        <f t="shared" si="2"/>
        <v>0</v>
      </c>
      <c r="E94" s="49">
        <f t="shared" si="3"/>
        <v>-421700</v>
      </c>
    </row>
    <row r="95" spans="1:5" ht="12.75">
      <c r="A95" s="47" t="s">
        <v>233</v>
      </c>
      <c r="B95" s="120">
        <v>0</v>
      </c>
      <c r="C95" s="120">
        <v>0</v>
      </c>
      <c r="D95" s="26" t="str">
        <f t="shared" si="2"/>
        <v>   </v>
      </c>
      <c r="E95" s="49">
        <f t="shared" si="3"/>
        <v>0</v>
      </c>
    </row>
    <row r="96" spans="1:5" ht="19.5" customHeight="1">
      <c r="A96" s="47" t="s">
        <v>234</v>
      </c>
      <c r="B96" s="120">
        <v>230300</v>
      </c>
      <c r="C96" s="120">
        <v>0</v>
      </c>
      <c r="D96" s="26">
        <f t="shared" si="2"/>
        <v>0</v>
      </c>
      <c r="E96" s="49">
        <f t="shared" si="3"/>
        <v>-230300</v>
      </c>
    </row>
    <row r="97" spans="1:5" ht="19.5" customHeight="1">
      <c r="A97" s="47" t="s">
        <v>235</v>
      </c>
      <c r="B97" s="116">
        <v>191400</v>
      </c>
      <c r="C97" s="120">
        <v>0</v>
      </c>
      <c r="D97" s="26">
        <f t="shared" si="2"/>
        <v>0</v>
      </c>
      <c r="E97" s="49">
        <f t="shared" si="3"/>
        <v>-191400</v>
      </c>
    </row>
    <row r="98" spans="1:5" ht="19.5" customHeight="1">
      <c r="A98" s="47" t="s">
        <v>265</v>
      </c>
      <c r="B98" s="116">
        <v>0</v>
      </c>
      <c r="C98" s="120">
        <v>0</v>
      </c>
      <c r="D98" s="26" t="str">
        <f t="shared" si="2"/>
        <v>   </v>
      </c>
      <c r="E98" s="49">
        <f t="shared" si="3"/>
        <v>0</v>
      </c>
    </row>
    <row r="99" spans="1:5" ht="40.5" customHeight="1">
      <c r="A99" s="47" t="s">
        <v>251</v>
      </c>
      <c r="B99" s="116">
        <v>0</v>
      </c>
      <c r="C99" s="120">
        <v>0</v>
      </c>
      <c r="D99" s="26" t="str">
        <f t="shared" si="2"/>
        <v>   </v>
      </c>
      <c r="E99" s="49">
        <f t="shared" si="3"/>
        <v>0</v>
      </c>
    </row>
    <row r="100" spans="1:5" ht="19.5" customHeight="1">
      <c r="A100" s="164" t="s">
        <v>19</v>
      </c>
      <c r="B100" s="168">
        <f>SUM(B42,B49,B51,B53,B58,B65,B66,B70,B72,+B98)</f>
        <v>4758000</v>
      </c>
      <c r="C100" s="168">
        <f>SUM(C42,C49,C51,C53,C58,C65,C66,C70,C72,)</f>
        <v>746609.48</v>
      </c>
      <c r="D100" s="166">
        <f>IF(B100=0,"   ",C100/B100*100)</f>
        <v>15.691666246321983</v>
      </c>
      <c r="E100" s="167">
        <f t="shared" si="1"/>
        <v>-4011390.52</v>
      </c>
    </row>
    <row r="101" spans="1:5" ht="19.5" customHeight="1" thickBot="1">
      <c r="A101" s="98" t="s">
        <v>210</v>
      </c>
      <c r="B101" s="212">
        <f>B44+B68</f>
        <v>476900</v>
      </c>
      <c r="C101" s="212">
        <f>C44+C68</f>
        <v>107315.56</v>
      </c>
      <c r="D101" s="99">
        <f>IF(B101=0,"   ",C101/B101*100)</f>
        <v>22.502738519605785</v>
      </c>
      <c r="E101" s="100">
        <f t="shared" si="1"/>
        <v>-369584.44</v>
      </c>
    </row>
    <row r="102" spans="1:5" s="76" customFormat="1" ht="23.25" customHeight="1">
      <c r="A102" s="110" t="s">
        <v>249</v>
      </c>
      <c r="B102" s="110"/>
      <c r="C102" s="250"/>
      <c r="D102" s="250"/>
      <c r="E102" s="250"/>
    </row>
    <row r="103" spans="1:5" s="76" customFormat="1" ht="12" customHeight="1">
      <c r="A103" s="110" t="s">
        <v>248</v>
      </c>
      <c r="B103" s="110"/>
      <c r="C103" s="111" t="s">
        <v>250</v>
      </c>
      <c r="D103" s="112"/>
      <c r="E103" s="113"/>
    </row>
    <row r="104" spans="1:5" ht="15" customHeight="1">
      <c r="A104" s="7"/>
      <c r="B104" s="7"/>
      <c r="C104" s="6"/>
      <c r="D104" s="7"/>
      <c r="E104" s="2"/>
    </row>
    <row r="105" spans="1:5" ht="12" customHeight="1">
      <c r="A105" s="65"/>
      <c r="B105" s="65"/>
      <c r="C105" s="66"/>
      <c r="D105" s="67"/>
      <c r="E105" s="68"/>
    </row>
    <row r="106" spans="1:5" ht="12.75">
      <c r="A106" s="7"/>
      <c r="B106" s="7"/>
      <c r="C106" s="6"/>
      <c r="D106" s="7"/>
      <c r="E106" s="2"/>
    </row>
    <row r="107" spans="1:5" ht="12.75">
      <c r="A107" s="7"/>
      <c r="B107" s="7"/>
      <c r="C107" s="6"/>
      <c r="D107" s="7"/>
      <c r="E107" s="2"/>
    </row>
    <row r="108" spans="1:5" ht="12.75">
      <c r="A108" s="7"/>
      <c r="B108" s="7"/>
      <c r="C108" s="6"/>
      <c r="D108" s="7"/>
      <c r="E108" s="2"/>
    </row>
    <row r="109" spans="1:5" ht="12.75">
      <c r="A109" s="7"/>
      <c r="B109" s="7"/>
      <c r="C109" s="6"/>
      <c r="D109" s="7"/>
      <c r="E109" s="2"/>
    </row>
  </sheetData>
  <mergeCells count="2">
    <mergeCell ref="A1:E1"/>
    <mergeCell ref="C102:E102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Аля</cp:lastModifiedBy>
  <cp:lastPrinted>2012-03-05T06:24:28Z</cp:lastPrinted>
  <dcterms:created xsi:type="dcterms:W3CDTF">2001-03-21T05:21:19Z</dcterms:created>
  <dcterms:modified xsi:type="dcterms:W3CDTF">2012-04-10T12:19:36Z</dcterms:modified>
  <cp:category/>
  <cp:version/>
  <cp:contentType/>
  <cp:contentStatus/>
</cp:coreProperties>
</file>