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724" activeTab="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сводная" sheetId="11" r:id="rId11"/>
  </sheets>
  <definedNames>
    <definedName name="_xlnm.Print_Area" localSheetId="0">'Лист1'!$A$1:$E$126</definedName>
  </definedNames>
  <calcPr fullCalcOnLoad="1"/>
</workbook>
</file>

<file path=xl/sharedStrings.xml><?xml version="1.0" encoding="utf-8"?>
<sst xmlns="http://schemas.openxmlformats.org/spreadsheetml/2006/main" count="1102" uniqueCount="318">
  <si>
    <t>/ в руб. /</t>
  </si>
  <si>
    <t>Наименование показателя</t>
  </si>
  <si>
    <t xml:space="preserve">ДОХОДЫ </t>
  </si>
  <si>
    <t>из них: Налог на прибыль</t>
  </si>
  <si>
    <t>НАЛОГИ НА ТОВАРЫ И УСЛУГИ, лицензионные и регистрационные сборы</t>
  </si>
  <si>
    <t>из них: Лицензионные и регистрационные сборы</t>
  </si>
  <si>
    <t>Налог с продаж</t>
  </si>
  <si>
    <t>НАЛОГИ НА СОВОКУПНЫЙ ДОХОД</t>
  </si>
  <si>
    <t>из них: Единый налог на совокупный доход субьектов малого предпринимательства</t>
  </si>
  <si>
    <t>НАЛОГИ НА ИМУЩЕСТВО</t>
  </si>
  <si>
    <t>Земельный налог</t>
  </si>
  <si>
    <t>ИТОГО СОБСТВЕННЫХ ДОХОДОВ</t>
  </si>
  <si>
    <t>ОТ ГОС. ЦЕЛЕВЫХ БЮДЖЕТНЫХ ФОНДОВ</t>
  </si>
  <si>
    <t>Фонд борьбы с преступностью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</si>
  <si>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</si>
  <si>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</si>
  <si>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</si>
  <si>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</si>
  <si>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СОЦИАЛЬНАЯ ПОЛИТИКА</t>
  </si>
  <si>
    <t>ВСЕГО РАСХОДОВ</t>
  </si>
  <si>
    <t>НЕНАЛОГОВЫЕ ДОХОДЫ - всего</t>
  </si>
  <si>
    <t>АДМИНИСТРАТИВНЫЕ ПЛАТЕЖИ И СБОРЫ</t>
  </si>
  <si>
    <t>ШТРАФНЫЕ САНКЦИИ, ВОЗМЕЩЕНИЕ УЩЕРБА</t>
  </si>
  <si>
    <t>ДОХОДЫ ОТ ПРЕДПРИНИМАТЕЛЬСКОЙ И ИНОЙ, ПРИНОСЯЩЕЙ ДОХОД  ДЕЯТЕЛЬНОСТИ</t>
  </si>
  <si>
    <t>ОХРАНА ОКРУЖАЮЩЕЙ СРЕДЫ</t>
  </si>
  <si>
    <t xml:space="preserve">           капремонт    </t>
  </si>
  <si>
    <t>СУБВЕНЦИИ</t>
  </si>
  <si>
    <t>ТРАНСФЕРТ</t>
  </si>
  <si>
    <t>Поступления от продажи имущества,находящегося в муниципальной собственности</t>
  </si>
  <si>
    <t>Доходы от использования лесного фонда</t>
  </si>
  <si>
    <t>Прочие неналоговые доходы</t>
  </si>
  <si>
    <t>Доходы от продажи оборудования,транспортных средств и др,матер,ценностей</t>
  </si>
  <si>
    <t>Справочно:</t>
  </si>
  <si>
    <t xml:space="preserve">             Резервный фонд</t>
  </si>
  <si>
    <t xml:space="preserve">             Выдано бюджетных кредитов</t>
  </si>
  <si>
    <t>АКЦИЗЫ ПО ПОДАКЦИЗН,ТОВАРАМ</t>
  </si>
  <si>
    <t>Бюджетная ссуда</t>
  </si>
  <si>
    <t xml:space="preserve"> ДОХОДЫ - всего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</si>
  <si>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</si>
  <si>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</si>
  <si>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</si>
  <si>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арендная плата за земли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</si>
  <si>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</si>
  <si>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</si>
  <si>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</si>
  <si>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</si>
  <si>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</si>
  <si>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ДОХОДЫ ОТ ПРЕДПРИНИМАТЕЛЬСКОЙ И ИНОЙ ПРИНОСЯЩЕЙ ДОХОД ДЕЯТЕЛЬНОСТИ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</si>
  <si>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</si>
  <si>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</si>
  <si>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</si>
  <si>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</si>
  <si>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</si>
  <si>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Убытки жилфонда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</si>
  <si>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</si>
  <si>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</si>
  <si>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</si>
  <si>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</si>
  <si>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</si>
  <si>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</si>
  <si>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</si>
  <si>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>ДРУГИЕ ВОПРОСЫ В ОБЛАСТИ НАЦИОНАЛЬНОЙ ЭКОНОМИКИ</t>
  </si>
  <si>
    <t>ДОТАЦИИ БЮДЖЕТАМ ПОСЕЛЕНИЙ НА ПОДДЕРЖКУ МЕР ПО ОБЕСПЕЧЕНИЮ СБАЛАНСИРОВАННОСТИ БЮДЖЕТОВ</t>
  </si>
  <si>
    <t>ДОТАЦИИ НА ПОДДЕРЖКУ МЕР ПО ОБЕСПЕЧЕНИЮ СБАЛАНСИРОВАННОСТИ БЮДЖЕТОВ</t>
  </si>
  <si>
    <t>ИСТОЧНИКИ ФИНАНСИРОВАНИЯ ДЕФИЦИТОВ БЮДЖЕТОВ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</si>
  <si>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</si>
  <si>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</si>
  <si>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</si>
  <si>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СУБВЕНЦИИ  БЮДЖЕТАМ  ПОСЕЛЕНИЙ  НА  ВЫПОЛНЕНИЕ  ПЕРЕДАВАЕМЫХ  ПОЛНОМОЧИЙ  СУБЪЕКТОВ  РОССИЙСКОЙ  ФЕДЕРАЦИИ</t>
  </si>
  <si>
    <t>Другие общегосударственные вопросы</t>
  </si>
  <si>
    <t>Другие общегосударственные  вопросы</t>
  </si>
  <si>
    <t>ПРОЧИЕ  СУБСИДИИ  БЮДЖЕТАМ ПОСЕЛЕНИЙ</t>
  </si>
  <si>
    <t>ПРОЧИЕ  СУБСИДИИ БЮДЖЕТАМ  ПОСЕЛЕНИЙ</t>
  </si>
  <si>
    <t>СУБСИДИИ БЮДЖЕТАМ ПОСЕЛЕНИЙ НА ОБЕСПЕЧЕНИЕ  ЖИЛЬЕМ  МОЛОДЫХ  СЕМЕЙ</t>
  </si>
  <si>
    <t>СУБСИДИИ  БЮДЖЕТАМ  ПОСЕЛЕНИЙ  НА  ОБЕСПЕЧЕНИЕ ЖИЛЬЕМ   МОЛОДЫХ  СЕМЕЙ</t>
  </si>
  <si>
    <t>СУБСИДИИ БЮДЖЕТАМ ПОСЕЛЕНИЙ НА ОБЕСПЕЧЕНИЕ ЖИЛЬЕМ  МОЛОДЫХ  СЕМЕЙ</t>
  </si>
  <si>
    <t>СУБСИДИИ  БЮДЖЕТАМ  ПОСЕЛЕНИЙ  НА  ОБЕСПЕЧЕНИЕ ЖИЛЬЕМ  МОЛОДЫХ СЕМЕЙ</t>
  </si>
  <si>
    <t>из них: уличное освещение</t>
  </si>
  <si>
    <t xml:space="preserve">            прочие мероприятия по благоустройству</t>
  </si>
  <si>
    <t>в том числе: Благоустройство</t>
  </si>
  <si>
    <t xml:space="preserve">           прочие мероприятия по благоустройству</t>
  </si>
  <si>
    <t>из них: уличное  освещение</t>
  </si>
  <si>
    <t xml:space="preserve">           прочие  мероприятия по  благоустройству</t>
  </si>
  <si>
    <t>из них:уличное  освещение</t>
  </si>
  <si>
    <t>в том  числе : Благоустройство</t>
  </si>
  <si>
    <t>из  них: оценка  недвижимости, признание прав и регулирование отношений по госуд.и муниц. собственн.</t>
  </si>
  <si>
    <t>в  том  числе :Коммунальное хозяйство</t>
  </si>
  <si>
    <t>из  них : дотация на покрытие убытков  ЖКХ</t>
  </si>
  <si>
    <t>из  них :уличное  освещение</t>
  </si>
  <si>
    <t xml:space="preserve">             озеленение</t>
  </si>
  <si>
    <t xml:space="preserve">             организация и содержание  мест захоронения</t>
  </si>
  <si>
    <t xml:space="preserve">             прочие мероприятия по благоустройству</t>
  </si>
  <si>
    <t>в том  числе :Благоустройство</t>
  </si>
  <si>
    <t>в  том  числе : Коммунальное хозяйство</t>
  </si>
  <si>
    <t>из них: дотация на возмещение убытков ЖКХ</t>
  </si>
  <si>
    <t xml:space="preserve">            мероприятия в области  коммунального  хозяйства</t>
  </si>
  <si>
    <t>В том числе : Благоустройство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</si>
  <si>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</si>
  <si>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</si>
  <si>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</si>
  <si>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в том числе : за счет средств республиканского бюджета</t>
  </si>
  <si>
    <t>ДОХОДЫ ОТ ПРОДАЖИ  МАТЕРИАЛЬНЫХ  И  НЕМАТЕРИАЛЬНЫХ АКТИВОВ</t>
  </si>
  <si>
    <t>доходы от  продажи  земельных участков , государственная собственность  на  которые не разграничена и которые  расположены в границах  поселений</t>
  </si>
  <si>
    <t>СУБСИДИИ  БЮДЖЕТАМ ПОСЕЛЕНИЙ НА  ОБЕСПЕЧЕНИЕ  ЖИЛЬЕМ   МОЛОДЫХ  СЕМЕЙ</t>
  </si>
  <si>
    <t>ДОХОДЫ ОТ ПРОДАЖИ  МАТЕРИАЛЬНЫХ И НЕМАТЕРИАЛЬНЫХ АКТИВОВ</t>
  </si>
  <si>
    <t>доходы от продажи земельных участков, государственная собственность на которые не разграничена  и которые расположены в границах поселений</t>
  </si>
  <si>
    <t xml:space="preserve">ПРОЧИЕ  СУБСИДИИ БЮДЖЕТАМ  ПОСЕЛЕНИЙ </t>
  </si>
  <si>
    <t xml:space="preserve">ПРОЧИЕ  СУБСИДИИ БЮДЖЕТАМ ПОСЕЛЕНИЙ </t>
  </si>
  <si>
    <t>СУБВЕНЦИИ  БЮДЖЕТАМ  ПОСЕЛЕНИЙ  НА  ОБЕСПЕЧЕНИЕ  ЖИЛЫМИ ПОМЕЩЕНИЯМИ ДЕТЕЙ- СИРОТ, ДЕТЕЙ, ОСТАВШИХСЯ БЕЗ ПОПЕЧЕНИЯ РОДИТЕЛЕЙ, А ТАКЖЕ ДЕТЕЙ, НАХОДЯЩИХСЯ ПО ОПЕКОЙ ( ПОПЕЧИТЕЛЬСТВОМ), НЕ ИМЕЮЩИХ ЗАКРЕПЛЕННОГО ЖИЛОГО ПОМЕЩЕНИЯ</t>
  </si>
  <si>
    <t xml:space="preserve">ПРОЧИЕ  СУБСИДИИ  БЮДЖЕТАМ  ПОСЕЛЕНИЙ </t>
  </si>
  <si>
    <t>СУБСИДИИ  БЮДЖЕТАМ ПОСЕЛЕНИЙ НА  ОСУЩЕСТВЛЕНИЕ МЕРОПРИЯТИЙ ПО  ОБЕСПЕЧЕНИЮ  ЖИЛЬЕМ   ГРАЖДАН  РФ, ПРОЖИВАЮЩИХ  В СЕЛЬСКОЙ МЕСТНОСТИ</t>
  </si>
  <si>
    <t xml:space="preserve">Обеспеч. жилыми помещ.детей-сирот и детей,оставш.без попеч.родит.  </t>
  </si>
  <si>
    <t xml:space="preserve">                      за  счет  местного  бюджета</t>
  </si>
  <si>
    <t>ДОХОДЫ ОТ ОКАЗАНИЯ ПЛАТНЫХ УСЛУГ И КОМПЕНСАЦИИ ЗАТРАТ ГОСУДАРСТВА</t>
  </si>
  <si>
    <t>прочие  доходы от  оказания платных услуг  получателями средств бюджетов  поселений и компенсации затрат государства бюджетов поселений</t>
  </si>
  <si>
    <t>СУБСИДИИ НА ОБЕСПЕЧЕНИЕ ЖИЛЬЕМ  МОЛОДЫХ  СЕМЕЙ  И  МОЛОДЫХ  СПЕЦИАЛИСТОВ,ПРОЖИВАЮЩИХ И РАБОТАЮЩИХ В СЕЛЬСКОЙ МЕСТНОСТИ</t>
  </si>
  <si>
    <t>Прочие доходы  от оказания платных услуг  получателями средств бюджетов  поселений и компенсации  затрат государства бюджетов поселений</t>
  </si>
  <si>
    <t>ВОЗВРАТ ОСТАТКОВ СУБСИДИЙ И СУБВЕНЦИЙ ПРОШЛЫХ ЛЕТ</t>
  </si>
  <si>
    <t>возмещение потерь сельскохозяйственного производства, связанных с изъятием  сельскохозяйственных угодий, расположенных на территориях поселений</t>
  </si>
  <si>
    <t>СУБСИДИИ БЮДЖЕТАМ ПОСЕЛЕНИЙ НА ОБЕСПЕЧЕНИЕ  ЖИЛЬЕМ  МОЛОДЫХ  СЕМЕЙ   МОЛОДЫХ  СПЕЦИАЛИСТОВ, ПРОЖИВАЮЩИХ И РАБОТАЮЩИХ В СЕЛЬСКОЙ  МЕСТНОСТИ</t>
  </si>
  <si>
    <t>СУБСИДИИ НА ОБЕСПЕЧЕНИЕ  ЖИЛЬЕМ  МОЛОДЫХ СЕМЕЙ  И МОЛОДЫХ  СПЕЦИАЛИСТОВ, ПРОЖИВАЮЩИХ  И РАБОТАЮЩИХ В СЕЛЬСКОЙ МЕСТНОСТИ</t>
  </si>
  <si>
    <t>СУБСИДИИ БЮДЖЕТАМ  ПОСЕЛЕНИЙ  НА ОСУЩЕСТВЛЕНИЕ МЕРОПРИЯТИЙ  ПО ОБЕСПЕЧЕНИЮ ЖИЛЬЕМ  ГРАЖДАН РФ,ПРОЖИВАЮЩИХ В СЕЛЬСКОЙ МЕСТНОСТИ</t>
  </si>
  <si>
    <t>в  том  числе :Жилищное хозяйство</t>
  </si>
  <si>
    <t>расходы на обеспечение малоимущих граждан</t>
  </si>
  <si>
    <t>Защита населения и территории  от последствий    чрезвычайных  ситуаций  природного и техногенного характера, гражданская оборона</t>
  </si>
  <si>
    <t>Защита населения и территории  от  последствий    чрезвычайных  ситуаций природного и техногенного характера, гражданская оборона</t>
  </si>
  <si>
    <t>ЗАДОЛЖЕННОСТЬ И ПЕРЕРАСЧЕТЫ ПО ОТМЕНЕННЫМ НАЛОГАМ, СБОРАМ И ИНЫМ ОБЯЗАТЕЛЬНЫМ ПЛАТЕЖАМ</t>
  </si>
  <si>
    <t>ЗАДОЛЖЕННОСТЬ И ПЕРЕРАСЧЕТЫ ПО ОТМЕНЕННЫМ  НАЛОГАМ, СБОРАМ И ИНЫМ ОБЯЗАТЕЛЬНЫМ ПЛАТЕЖАМ</t>
  </si>
  <si>
    <t>МЕЖБЮДЖЕТНЫЕ ТРАНСФЕРТЫ, ПЕРЕДАВАЕМЫЕ  БЮДЖЕТАМ  ПОСЕЛЕНИЙ ДЛЯ КОМПЕНСАЦИИ ДОПОЛНИТЕЛЬНЫХ РАСХОДОВ, ВОЗНИКШИХ В РЕЗУЛЬТАТЕ РЕШЕНИЙ, ПРИНЯТЫХ ОРГАНАМИ ВЛАСТИ  ДРУГОГО УРОВНЯ</t>
  </si>
  <si>
    <t>Защита населения и территории от последствий  чрезвычайных ситуаций природного и техногенного  характера, гражданская оборона</t>
  </si>
  <si>
    <t>в том числе: Коммунальное хозяйство</t>
  </si>
  <si>
    <t>ДОХОДЫ ОТ ОКАЗАНИЯ  ПЛАТНЫХ  УСЛУГ  И  КОМПЕНСАЦИИ  ЗАТРАТ  ГОСУДАРСТВА</t>
  </si>
  <si>
    <t>из них: капремонт  жилфонда</t>
  </si>
  <si>
    <t>СОЦИАЛЬНАЯ   ПОЛИТИКА</t>
  </si>
  <si>
    <t>ПРОЧИЕ МЕЖБЮДЖЕТНЫЕ ТРАНСФЕРТЫ,ПЕРЕДАВАЕМЫЕ БЮДЖЕТАМ ПОСЕЛЕНИЙ</t>
  </si>
  <si>
    <t>ВОЗВРАТ  ОСТАТКОВ СУБСИДИЙ И СУБВЕНЦИЙ ПРОШЛЫХ ЛЕТ</t>
  </si>
  <si>
    <t>в т.ч. оценка недвижимости, признание прав и регулирование отношений по госуд.и муниц. собств.</t>
  </si>
  <si>
    <t xml:space="preserve">           на расходы  по обесп.жильем малоимущ.</t>
  </si>
  <si>
    <t>ЗАДОЛЖЕННОСТЬ  И  ПЕРЕРАСЧЕТЫ  ПО  ОТМЕНЕНЫМ НАЛОГАМ, СБОРАМ И ИНЫМ ОБЯЗАТЕЛЬНЫМ ПЛАТЕЖАМ</t>
  </si>
  <si>
    <t xml:space="preserve">          реализ.дополн. меропр.,направл.на снижение напряжен.на рынке труда</t>
  </si>
  <si>
    <t>СУБВЕНЦИИ БЮДЖЕТАМ ПОСЕЛЕНИЙ НА ВЫПОЛНЕНИЕ ПЕРЕДАВАЕМЫХ ПОЛНОМОЧИЙ СУБЪЕКТОВ  РОССИЙСКОЙ  ФЕДЕРАЦИИ</t>
  </si>
  <si>
    <t>Резервные фонды</t>
  </si>
  <si>
    <t xml:space="preserve">В том числе:Содержание аварийно-спасательного  звена </t>
  </si>
  <si>
    <t xml:space="preserve">                     Обеспечение противопожарной деятельности</t>
  </si>
  <si>
    <t>из них: капремонт жилфонда</t>
  </si>
  <si>
    <t xml:space="preserve"> в том числе: Благоустройство</t>
  </si>
  <si>
    <t xml:space="preserve"> из них:уличное освещение</t>
  </si>
  <si>
    <t>из них: капремонт   жилфонда</t>
  </si>
  <si>
    <t>Резервные  фонды</t>
  </si>
  <si>
    <t>МЕЖБЮДЖЕТНЫЕ ТРАНСФЕРТЫ, ПЕРЕДАВАЕМЫЕ  БЮДЖЕТАМ ПОСЕЛЕНИЙ НА КОМПЛЕКТОВАНИЕ  КНИЖНЫХ ФОНДОВ БИБЛИОТЕК МУНИЦИПАЛЬНЫХ ОБРАЗОВАНИЙ</t>
  </si>
  <si>
    <t>МЕЖБЮДЖЕТНЫЕ ТРАНСФЕРТЫ,ПЕРЕДАВАЕМЫЕ БЮДЖЕТАМ ПОСЕЛЕНИЙ  ДЛЯ КОМПЕНСАЦИИ  ДОПОЛНИТЕЛЬНЫХ РАСХОДОВ, ВОЗНИКШИХ В РЕЗУЛЬТАТЕ РЕШЕНИЙ, ПРИНЯТЫХ ОРГАНАМИ ВЛАСТИ ДРУГОГО УРОВНЯ</t>
  </si>
  <si>
    <t xml:space="preserve">Оказание материальной помощи  ( местн. бюджет)           </t>
  </si>
  <si>
    <t>Оказание  материальной  помощи</t>
  </si>
  <si>
    <t>СУБСИДИИ НА ОСУЩЕСТВЛЕНИЕ КАПИТАЛЬНОГО РЕМОНТА ОБЪЕКТОВ СОЦИАЛЬНО-КУЛЬТУРНОЙ СФЕРЫ</t>
  </si>
  <si>
    <t>МЕЖБЮДЖЕТНЫЕ ТРАНСФЕРТЫ, ПЕРЕДАВАЕМЫЕ  БЮДЖЕТАМ  ПОСЕЛЕНИЙ ДЛЯ КОМПЕНСАЦИИ  ДОПОЛНИТЕЛЬНЫХ РАСХОДОВ, ВОЗНИКШИХ В РЕЗУЛЬТАТЕ  РЕШЕНИЙ,ПРИНЯТЫХ ОРГАНАМИ ВЛАСТИ  ДРУГОГО УРОВНЯ</t>
  </si>
  <si>
    <t>в том числе: за счет республ.бюдж.</t>
  </si>
  <si>
    <t>Мероприятия по капитальному ремонту гидротехнических сооружений</t>
  </si>
  <si>
    <t>в том числе: за счет федерального бюджета</t>
  </si>
  <si>
    <t xml:space="preserve">                     за счет республиканского бюджета</t>
  </si>
  <si>
    <t xml:space="preserve"> В том числе: мероприятия по капитальному ремонту гидротехнических сооружений</t>
  </si>
  <si>
    <t>ВОДНЫЕ РЕСУРСЫ</t>
  </si>
  <si>
    <t>из них: мероприятия в области коммунального хозяйства</t>
  </si>
  <si>
    <t xml:space="preserve">         проектные работы по очистным сооружениям</t>
  </si>
  <si>
    <t>ИТОГО  БЕЗВОЗМЕЗДНЫХ ПОСТУПЛЕНИЙ</t>
  </si>
  <si>
    <t>в том числе: на разработку проекта  реконстр.плотины- респ.бюдж. (А-Баз. посел.)</t>
  </si>
  <si>
    <t>Cубсидии на обеспечение  жильем  молодых  семей  ( респ.бюдж. согл. Указа Презид. ЧР № 51)</t>
  </si>
  <si>
    <t>Возмещение потерь с/х пр-ва, связанных с изъятием  с/х угодий</t>
  </si>
  <si>
    <t>невыясненные поступления</t>
  </si>
  <si>
    <t>субсидии на обеспечение  жильем молодых семей ( по Указу Президента № 51)</t>
  </si>
  <si>
    <t>Cубсидии на обеспечение  жильем  молодых  семей  ( местн.бюдж. согл. Указа Презид. ЧР № 51)</t>
  </si>
  <si>
    <t>СУБСИДИИ НА ОСУЩЕСТВЛЕНИЕ МЕРОПРИЯТИЙ ПО ОБЕСПЕЧЕНИЮ ЖИЛЬЕМ ГРАЖДАН РФ, ПРОЖИВАЮЩИХ  В СЕЛЬСКОЙ МЕСТНОСТИ</t>
  </si>
  <si>
    <t xml:space="preserve">ПРОЧИЕ  СУБСИДИИ БЮДЖЕТАМ  ПОСЕЛЕНИЙ  </t>
  </si>
  <si>
    <t>расходы по осуществлению капитального ремонта объектов социально-культурной сферы</t>
  </si>
  <si>
    <t>в том числе респ. бюджет</t>
  </si>
  <si>
    <t>местн. бюджет</t>
  </si>
  <si>
    <t>в том числе за счет средств респ. бюд.</t>
  </si>
  <si>
    <t>осуществление первичного воинского учета на территориях, где отсутствуют военные комиссариаты (фед.)</t>
  </si>
  <si>
    <t>комплектование книжных фондов библиотек (фед.)</t>
  </si>
  <si>
    <t>возмещение потерь с/х пр-ва, связанных с изъятием  с/х угодий</t>
  </si>
  <si>
    <t>прочие неналоговые поступления</t>
  </si>
  <si>
    <t>в том числе субсидии на софинансирование по осуществлению дорожной деятельности</t>
  </si>
  <si>
    <t xml:space="preserve">            субв.по осущ.полном. по вед.учета граждан (респ.)</t>
  </si>
  <si>
    <t xml:space="preserve">прочие  неналоговые  доходы  бюджетов  поселений  </t>
  </si>
  <si>
    <t>Обеспечение  жилыми  помещениями  детей-сирот, детей, оставшихся без попечения родителей, а также детей, находящихся под опекой (попечительством), не имеющих закрепленного  жилого помещения (респ.)</t>
  </si>
  <si>
    <t xml:space="preserve">            субв.по осущ.полном. по вед.учета граждан (респ.),</t>
  </si>
  <si>
    <t>Налог на имущество физических лиц</t>
  </si>
  <si>
    <t>налог на доходы физических лиц</t>
  </si>
  <si>
    <t>единый сельскохозяйственный налог</t>
  </si>
  <si>
    <t>налоги на имущество физических лиц</t>
  </si>
  <si>
    <t>земельный налог</t>
  </si>
  <si>
    <t>СУБСИДИИ</t>
  </si>
  <si>
    <t>в том числе</t>
  </si>
  <si>
    <t>из них</t>
  </si>
  <si>
    <t>субсидии на поощрение победителей экономического соревнования между поселениями ЧР</t>
  </si>
  <si>
    <t>развитие улично-дорожной сети сельских населенных пунктов</t>
  </si>
  <si>
    <t>субсидии местным бюджетам на софинансирование расходов  бюджетов м/о по осуществлению дорожной деятельности, кроме деятельности по строительству в границах поселений</t>
  </si>
  <si>
    <t>субсидии местным бюджетам на софинансирование расходов бюджетов м/о по осуществлению капитального ремонта объектов социально-культурной сферы</t>
  </si>
  <si>
    <t>СУБВЕНЦИИ  БЮДЖЕТАМ  ПОСЕЛЕНИЙ  НА  ОБЕСПЕЧЕНИЕ 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</si>
  <si>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ИНЫЕ МЕЖБЮДЖЕТНЫЕ ТРАНСФЕРТЫ</t>
  </si>
  <si>
    <t xml:space="preserve">            расходы по осуществлению полномочий по ведению учета граждан , нуждающихся в жилых помещениях  за счет субвенций бюджетам поселений (респ.)</t>
  </si>
  <si>
    <t xml:space="preserve">                     за  счет  местного бюджета (разработка проекта реконструкции плотины)</t>
  </si>
  <si>
    <t>районный бюджет</t>
  </si>
  <si>
    <t xml:space="preserve">                     за счет район. бюдж.</t>
  </si>
  <si>
    <t>ремонт клуба (район. ср-ва)</t>
  </si>
  <si>
    <t>Уточненный план на 2011 год</t>
  </si>
  <si>
    <t>возврат остатков субсид. прошл. лет из бюджетов поселений</t>
  </si>
  <si>
    <t>ДОТАЦИИ БЮДЖЕТАМ ПОСЕЛЕНИЙ НА ПОДДЕРЖКУ МЕР ПО ОБЕСЕЧЕНИЮ СБАЛАНСИРОВАННОСТИ БЮДЖЕТОВ</t>
  </si>
  <si>
    <t>из них: заработная плата</t>
  </si>
  <si>
    <t xml:space="preserve">из них: заработная плата </t>
  </si>
  <si>
    <t xml:space="preserve">из них: заработная плата  </t>
  </si>
  <si>
    <t>МЕЖБЮДЖЕТНЫЕ ТРАНСФЕРТЫ,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</si>
  <si>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в том числе: заработная плата </t>
  </si>
  <si>
    <t xml:space="preserve">бюджетные инвестиции в объекты капитального строительства гос. собственности субъектов РФ (объекты капитального строительства собственности муниципальных образований) (расходы на строительство водопровода по ул. Радужная г. Козловка) </t>
  </si>
  <si>
    <t>бюджетные инвестиции в объекты капитального строительства гос. собственности субъектов РФ (объекты капитального строительства собственности муниципальных образований) (расходы на строительство водопровода по ул. Радужная г. Козловка) респ.</t>
  </si>
  <si>
    <t>бюджетные инвестиции в объекты капитального строительства гос. собственности субъектов РФ (объекты капитального строительства собственности муниципальных образований) (расходы на строительство водопровода по ул. Радужная г. Козловка) мест.</t>
  </si>
  <si>
    <t>ФИЗИЧЕСКАЯ КУЛЬТУРА И СПОРТ</t>
  </si>
  <si>
    <t xml:space="preserve">    физическая культура и спорт  </t>
  </si>
  <si>
    <t>СУБСИДИИ БЮДЖЕТАМ ПОСЕЛЕНИЙ НА СУЩЕСТВЛЕНИЕ МЕРОПРИЯТИЙ ПО ОБЕСПЕЧЕНИЮ ЖИЛЬЕМ ГРАЖДАН РФ, ПРОЖИВАЮЩИХ В СЕЛЬСКОЙ МЕСТНОСТИ</t>
  </si>
  <si>
    <t>доходы от реализации имущества</t>
  </si>
  <si>
    <t>СУБВЕНЦИИ БЮДЖЕТАМ ПОСЕЛЕНИЙ НА ОБЕСПЕЧЕНИЕ ЖИЛЫМИ ПОМЕЩЕНИЯМИ ДЕТЕЙ-СИРОТ, ОСТАВШИХСЯ БЕЗ ПОПЕЧЕНИЯ РОДИТЕЛЕЙ, А ТАКЖЕ ДЕТЕЙ, НАХОДЯЩИХСЯ ПОД ОПЕКОЙ (ПОПЕЧИТЕЛЬСТВОМ), НЕ ИМЕЮЩИХ ЗАКРЕПЛЕННОГО ЖИЛОГО ПОМЕЩЕНИЯ</t>
  </si>
  <si>
    <t>невыясненные поступления, зачисляемые в бюджеты поселений</t>
  </si>
  <si>
    <t>СУБВЕНЦИИ  БЮДЖЕТАМ  ПОСЕЛЕНИЙ  НА  ОБЕСПЕЧЕНИЕ  ЖИЛЫМИ ПОМЕЩЕНИЯМИ ДЕТЕЙ- СИРОТ, ДЕТЕЙ, ОСТАВШИХСЯ БЕЗ ПОПЕЧЕНИЯ РОДИТЕЛЕЙ, А ТАКЖЕ ДЕТЕЙ, НАХОДЯЩИХСЯ ПО ОПЕКОЙ (ПОПЕЧИТЕЛЬСТВОМ), НЕ ИМЕЮЩИХ ЗАКРЕПЛЕННОГО ЖИЛОГО ПОМЕЩЕНИЯ</t>
  </si>
  <si>
    <t>Социальное обеспечение населения</t>
  </si>
  <si>
    <t>РЦП "Социальное развитие села в Чувашской Республике до 2012 года"</t>
  </si>
  <si>
    <t>социальное обеспечение населения</t>
  </si>
  <si>
    <t>Обеспеч. жильем молодых семей и молодых специалистов, прож. и работ. в сельской местности (фед. бюдж.)</t>
  </si>
  <si>
    <t>Субсидии на осуществление мероприятий по обеспечению жильем граждан РФ, проживающих в сельской местности</t>
  </si>
  <si>
    <t xml:space="preserve">Обеспеч. жильем молодых семей и молодых специалистов, прож. и работ. в сельской местности </t>
  </si>
  <si>
    <t xml:space="preserve">Обеспечение жильем молодых семей в рамках ФЦП "Жилище" на 2011-2015 годы </t>
  </si>
  <si>
    <t xml:space="preserve">Обеспечение  жилыми  помещениями  детей-сирот, детей, оставшихся без попечения родителей, а также детей, находящихся под опекой (попечительством), не имеющих закрепленного  жилого помещения </t>
  </si>
  <si>
    <t>Обеспечение жильем молодых семей в рамках ФЦП "Жилище" на 2011-2015 годы</t>
  </si>
  <si>
    <t>меропр. в области  коммунального хозяйства</t>
  </si>
  <si>
    <t xml:space="preserve">субсидии на обеспеч.жильем  молодых  семей и  молодых  специалистов, проживающих и работающих в  сельской  местности </t>
  </si>
  <si>
    <t>обеспечение жильем молодых семей в рамках ФЦП "Жилище" на 2011-2015 годы</t>
  </si>
  <si>
    <t>в том числе: фед. бюдж.</t>
  </si>
  <si>
    <t xml:space="preserve">                    респ бюдж</t>
  </si>
  <si>
    <t xml:space="preserve">                    местн бюдж </t>
  </si>
  <si>
    <t>в том числе:  фед. бюджет</t>
  </si>
  <si>
    <t xml:space="preserve">                      местн. бюджет</t>
  </si>
  <si>
    <t xml:space="preserve">                      респ. бюджет</t>
  </si>
  <si>
    <t xml:space="preserve"> РЦП "Социальное развитие села в ЧР до 2012 года"                                          </t>
  </si>
  <si>
    <t xml:space="preserve"> ФЦП "Социальное развитие села до 2012 года"                                                       </t>
  </si>
  <si>
    <t xml:space="preserve">субсидии на обеспечение жильем молодых семей и специалистов, проживающих и работающих в сельской местности </t>
  </si>
  <si>
    <t xml:space="preserve">                     Обеспечение пожарной безопасности</t>
  </si>
  <si>
    <t xml:space="preserve">           расходы на переселение граждан  из ветхого жилья по РЦП "Переселение гражд. из ветх. и авар. жилфонда, расп. на терр. ЧР" на 2008-2011 г.г.</t>
  </si>
  <si>
    <t xml:space="preserve">Пособия по социальной помощи населению </t>
  </si>
  <si>
    <t>Обеспечение пожарной безопасности</t>
  </si>
  <si>
    <t>Реализация дополнительных мероприятий, направленных на снижение напряженности на рынке труда</t>
  </si>
  <si>
    <t>субсидии на капремонт объектов соцкультсферы</t>
  </si>
  <si>
    <t>втом числе субсидии на осуществление капремонта объектов соц-культсферы</t>
  </si>
  <si>
    <t xml:space="preserve"> администрации Козловского района</t>
  </si>
  <si>
    <t>Начальник финансового отдела</t>
  </si>
  <si>
    <t>А. И. Чернова</t>
  </si>
  <si>
    <t>ОБЕСПЕЧЕНИЕ  ЖИЛЫМИ ПОМЕЩЕНИЯМИ ДЕТЕЙ- СИРОТ, ДЕТЕЙ, ОСТАВШИХСЯ БЕЗ ПОПЕЧЕНИЯ РОДИТЕЛЕЙ, А ТАКЖЕ ДЕТЕЙ, НАХОДЯЩИХСЯ ПО ОПЕКОЙ ( ПОПЕЧИТЕЛЬСТВОМ), НЕ ИМЕЮЩИХ ЗАКРЕПЛЕННОГО ЖИЛОГО ПОМЕЩЕНИЯ</t>
  </si>
  <si>
    <t>ФЦП "Социальное развитие села до 2013 года"</t>
  </si>
  <si>
    <t>РЦП "Социальное развитие села в Чувашской Республике до 2013 года"</t>
  </si>
  <si>
    <t>Обслуживание государственного долга</t>
  </si>
  <si>
    <t>в т.ч.обслуж.внутренниго долга</t>
  </si>
  <si>
    <t>прочие неналоговые доходы</t>
  </si>
  <si>
    <t>СУБСИДИИ БЮДЖЕТАМ ПОСЕЛЕНИЙ НА РЕАЛИЗАЦИЮ ФЕДЕРАЛЬНЫХ ЦЕЛЕВЫХ ПРОГРАММ</t>
  </si>
  <si>
    <t xml:space="preserve">СУБСИДИИ БЮДЖЕТАМ ПОСЕЛЕНИЙ НА РЕАЛИЗАЦИЮ ФЕДЕРАЛЬНЫХ ЦЕЛЕВЫХ ПРОГРАМ </t>
  </si>
  <si>
    <t xml:space="preserve">СУБСИДИИ БЮДЖЕТАМ ПОСЕЛЕНИЙ НА  РЕАЛИЗАЦИЮ ФЕДЕРАЛЬНЫХ ЦЕЛЕВЫХ ПРОГРАММ </t>
  </si>
  <si>
    <t>в том числе Коммунальное хозяйство</t>
  </si>
  <si>
    <t>СУБСИДИИ  БЮДЖЕТАМ  ПОСЕЛЕНИЙ  НА РЕАЛЛИЗАЦИЮ ФЕДЕРАЛЬНЫХ ЦЕЛЕВЫХ ПРОГРАММ</t>
  </si>
  <si>
    <t>Проведение выборов в представительные органы самоуправления</t>
  </si>
  <si>
    <t>СУБСИДИИ  БЮДЖЕТАМ ПОСЕЛЕНИЙ НА ОСУЩЕСТВЛЕНИЕ ФЕДЕРАЛЬНЫХ ЦЕЛЕВЫХ ПРОГРАММ</t>
  </si>
  <si>
    <t xml:space="preserve">ПЕРЕЧИСЛЕНИЯ ИЗ БЮДЖЕТОВ ПОСЕЛЕНИЙ ДЛЯ ОСУЩЕСТВЛЕНИЯ ВОЗВРАТА ИЗЛИШНЕ УПЛАЧЕННЫХ НАЛОГОВ </t>
  </si>
  <si>
    <t>Субсидии бюджетам поселений на реализацию федеральных целевых программ</t>
  </si>
  <si>
    <t>в том числе мероприятия в области коммунального хозяйства</t>
  </si>
  <si>
    <t>из них -меропр. в области  коммунального хозяйства</t>
  </si>
  <si>
    <t>в т.ч. обслуживание внутренниго долга</t>
  </si>
  <si>
    <t>СУБСИДИИ  БЮДЖЕТАМ ПОСЕЛЕНИЙ НА  РЕАЛИЗАЦИЮ ФЕДЕРАЛЬНЫХ ЦЕЛЕВЫХ ПРОГРАММ</t>
  </si>
  <si>
    <t xml:space="preserve">          прочие мероприятия по благоустройству</t>
  </si>
  <si>
    <t>Возмещение сельхозпотерь</t>
  </si>
  <si>
    <t>Субсидии на осуществление мероприятий по обеспечению жильем молодых семей и специалистов, проживающих в сельской местности</t>
  </si>
  <si>
    <t>СУБСИДИИ БЮДЖЕТАМ ПОСЕЛЕНИЙ НА ОСУЩЕСТВЛЕНИЕ КАПИТАЛЬНОГО РЕМОНТА ГИДРОТЕХНИЧЕСКИХ СООРУЖЕНИЙ,НАХОДЯЩИХСЯ В МУНИЦИПАЛЬНОЙ СОБСТВЕННОСТИ И БЕСХОЗНЫХ ГИДРОТЕХНИЧЕСКИХ СООРУЖЕНИЙ</t>
  </si>
  <si>
    <t>% исполнения к  годовому  плану  2012 г.</t>
  </si>
  <si>
    <t>Отклонение от  годового  плана   2012 г         ( +, - )</t>
  </si>
  <si>
    <t>% исполне-ния к  годовому плану  на 2012 г.</t>
  </si>
  <si>
    <t>Отклонение от годового плана 2012 г ( +, - )</t>
  </si>
  <si>
    <t>% исполнения к  годовому плану 2012 г.</t>
  </si>
  <si>
    <t>Отклонение от годового  плана 2012 г    ( +, - )</t>
  </si>
  <si>
    <t>% исполнения к  годовому  плану 2012 г.</t>
  </si>
  <si>
    <t>Отклонение от годового  плана  2012 г.( +, - )</t>
  </si>
  <si>
    <t>Уточненный план на 2012 год</t>
  </si>
  <si>
    <t>Отклонение от годового  плана 2012 г ( +, - )</t>
  </si>
  <si>
    <t>Уточнен-ный план на 2012 год</t>
  </si>
  <si>
    <t xml:space="preserve">      Дорожное хозяйство (дорожные фонды)</t>
  </si>
  <si>
    <t>в т.ч. осуществление дорожной деятельности, кроме деятельности по строительству автодорог местного значения в границах поселения (респ)</t>
  </si>
  <si>
    <t>в т.ч. осуществление дорожной деятельности, кроме деятельности по строительству автодорог местного значения в границах поселения (мест)</t>
  </si>
  <si>
    <t>% исполнения к  годовому плану  2012 г.</t>
  </si>
  <si>
    <t>Отклонение от годового плана  2012 г. ( +, - )</t>
  </si>
  <si>
    <t>% исполнения к годовому  плану  2012 г.</t>
  </si>
  <si>
    <t>Отклонение от годового  плана  2012 г  ( +, - )</t>
  </si>
  <si>
    <t>СУБСИДИИ НА ОСУЩЕСТВЛЕНИЕ  МЕРОПРИЯТИЙ ПО ОБЕСПЕЧЕНИЮ ЖИЛЬЕМ  МОЛОДЫХ СЕМЕЙ,ПРОЖИВАЮЩИХ  В СЕЛЬСКОЙ МЕСТНОСТИ</t>
  </si>
  <si>
    <t>ФЦП "Жилище"</t>
  </si>
  <si>
    <t>субсидии на обеспечение  жильем молодых  семей  в рамках ФЦП "Жилище"</t>
  </si>
  <si>
    <t>Отклонение от  годового  плана   2012 г ( +, - )</t>
  </si>
  <si>
    <t>выполнение других обязательств государства</t>
  </si>
  <si>
    <t>Отклонение от годового  плана  2012 г     ( +, - )</t>
  </si>
  <si>
    <t>Субвенции бюджетам муниципальных образований на обеспечение жилыми помещениями детей-сирот, а так же детей, находящихся под опекой (попечительством), не имеющих закрепленного жилья</t>
  </si>
  <si>
    <t>Отклонение от  годового  плана  2012 г ( +, - )</t>
  </si>
  <si>
    <t>Уточненный план на 2012  год</t>
  </si>
  <si>
    <t>Отклонение от годового  плана  2012 г ( +, - )</t>
  </si>
  <si>
    <t>Анализ исполнения бюджета  Янгильдинского сельского поселения за февраль 2012 года</t>
  </si>
  <si>
    <t>Фактическое исполнение за февраль 2012 года</t>
  </si>
  <si>
    <t>Анализ исполнения бюджета Аттиковского сельского поселения за февраль 2012 года</t>
  </si>
  <si>
    <t>Фактическое исполнение за февраль  2012 года</t>
  </si>
  <si>
    <t>Анализ исполнения бюджета  Байгуловского сельского поселения за февраль 2012 года</t>
  </si>
  <si>
    <t>Анализ исполнения бюджета  Еметкинского сельского поселения за февраль 2012 года</t>
  </si>
  <si>
    <t>Анализ исполнения бюджета  Карамышевского сельского поселения за февраль 2012 года</t>
  </si>
  <si>
    <t>Анализ исполнения бюджета  Карачевского сельского поселения за февраль 2012 года</t>
  </si>
  <si>
    <t>Анализ исполнения бюджета  Козловского  городского  поселения  за  февраль 2012  года</t>
  </si>
  <si>
    <t>Анализ исполнения бюджета  Солдыбаевского сельского поселения за февраль 2012 года</t>
  </si>
  <si>
    <t>Анализ исполнения бюджета  Тюрлеминского сельского поселения за февраль 2012 года</t>
  </si>
  <si>
    <t>Анализ   исполнения   бюджетов   поселений   за февраль  2012 года.</t>
  </si>
  <si>
    <t>Погашение кредита</t>
  </si>
  <si>
    <t>Анализ  исполнения бюджета Андреево-Базарского сельского поселения за февраль 2012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</si>
</sst>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15">
    <font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0"/>
      <color indexed="18"/>
      <name val="Arial Cyr"/>
      <family val="2"/>
    </font>
    <font>
      <sz val="9"/>
      <color indexed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41" fontId="0" fillId="0" borderId="0" xfId="19" applyFill="1" applyAlignment="1">
      <alignment horizontal="right"/>
    </xf>
    <xf numFmtId="41" fontId="0" fillId="0" borderId="0" xfId="19" applyFill="1" applyAlignment="1">
      <alignment horizontal="right" wrapText="1"/>
    </xf>
    <xf numFmtId="41" fontId="0" fillId="0" borderId="0" xfId="19" applyFill="1" applyAlignment="1">
      <alignment horizontal="center"/>
    </xf>
    <xf numFmtId="0" fontId="0" fillId="0" borderId="0" xfId="0" applyFill="1" applyAlignment="1">
      <alignment/>
    </xf>
    <xf numFmtId="41" fontId="0" fillId="0" borderId="0" xfId="19" applyFill="1" applyAlignment="1">
      <alignment/>
    </xf>
    <xf numFmtId="41" fontId="0" fillId="0" borderId="0" xfId="19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" fontId="0" fillId="0" borderId="1" xfId="19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wrapText="1"/>
    </xf>
    <xf numFmtId="41" fontId="0" fillId="0" borderId="1" xfId="19" applyFill="1" applyBorder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1" fontId="0" fillId="0" borderId="3" xfId="19" applyNumberFormat="1" applyFill="1" applyBorder="1" applyAlignment="1">
      <alignment horizontal="center" wrapText="1"/>
    </xf>
    <xf numFmtId="41" fontId="0" fillId="0" borderId="3" xfId="19" applyFill="1" applyBorder="1" applyAlignment="1">
      <alignment horizontal="right"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vertical="center" wrapText="1"/>
    </xf>
    <xf numFmtId="41" fontId="6" fillId="0" borderId="0" xfId="19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2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2" fontId="0" fillId="0" borderId="1" xfId="0" applyNumberFormat="1" applyFill="1" applyBorder="1" applyAlignment="1">
      <alignment horizontal="right" wrapText="1"/>
    </xf>
    <xf numFmtId="2" fontId="0" fillId="0" borderId="1" xfId="0" applyNumberFormat="1" applyFill="1" applyBorder="1" applyAlignment="1">
      <alignment wrapText="1"/>
    </xf>
    <xf numFmtId="2" fontId="0" fillId="0" borderId="1" xfId="17" applyNumberFormat="1" applyFill="1" applyBorder="1" applyAlignment="1">
      <alignment wrapText="1"/>
    </xf>
    <xf numFmtId="2" fontId="0" fillId="0" borderId="1" xfId="19" applyNumberFormat="1" applyFill="1" applyBorder="1" applyAlignment="1">
      <alignment horizontal="right" wrapText="1"/>
    </xf>
    <xf numFmtId="2" fontId="0" fillId="0" borderId="1" xfId="19" applyNumberFormat="1" applyFill="1" applyBorder="1" applyAlignment="1">
      <alignment wrapText="1"/>
    </xf>
    <xf numFmtId="1" fontId="0" fillId="0" borderId="1" xfId="0" applyNumberForma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2" fontId="0" fillId="0" borderId="1" xfId="0" applyNumberFormat="1" applyFont="1" applyFill="1" applyBorder="1" applyAlignment="1">
      <alignment wrapText="1"/>
    </xf>
    <xf numFmtId="41" fontId="5" fillId="0" borderId="5" xfId="19" applyFont="1" applyFill="1" applyBorder="1" applyAlignment="1">
      <alignment horizontal="center" vertical="center" wrapText="1"/>
    </xf>
    <xf numFmtId="2" fontId="0" fillId="0" borderId="1" xfId="19" applyNumberFormat="1" applyFont="1" applyFill="1" applyBorder="1" applyAlignment="1">
      <alignment horizontal="right" wrapText="1"/>
    </xf>
    <xf numFmtId="1" fontId="0" fillId="0" borderId="6" xfId="19" applyNumberFormat="1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wrapText="1"/>
    </xf>
    <xf numFmtId="41" fontId="5" fillId="0" borderId="8" xfId="19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1" fontId="10" fillId="0" borderId="0" xfId="19" applyFont="1" applyFill="1" applyAlignment="1">
      <alignment/>
    </xf>
    <xf numFmtId="2" fontId="10" fillId="0" borderId="1" xfId="0" applyNumberFormat="1" applyFont="1" applyFill="1" applyBorder="1" applyAlignment="1">
      <alignment wrapText="1"/>
    </xf>
    <xf numFmtId="2" fontId="10" fillId="0" borderId="1" xfId="0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wrapText="1"/>
    </xf>
    <xf numFmtId="2" fontId="10" fillId="0" borderId="3" xfId="19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41" fontId="10" fillId="0" borderId="0" xfId="19" applyFont="1" applyFill="1" applyAlignment="1">
      <alignment wrapText="1"/>
    </xf>
    <xf numFmtId="41" fontId="10" fillId="0" borderId="0" xfId="19" applyFont="1" applyFill="1" applyAlignment="1">
      <alignment horizontal="right" wrapText="1"/>
    </xf>
    <xf numFmtId="0" fontId="0" fillId="0" borderId="2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0" fillId="0" borderId="3" xfId="19" applyNumberFormat="1" applyFill="1" applyBorder="1" applyAlignment="1">
      <alignment horizontal="right" wrapText="1"/>
    </xf>
    <xf numFmtId="2" fontId="4" fillId="0" borderId="1" xfId="0" applyNumberFormat="1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horizontal="right" wrapText="1"/>
    </xf>
    <xf numFmtId="2" fontId="2" fillId="0" borderId="1" xfId="19" applyNumberFormat="1" applyFont="1" applyFill="1" applyBorder="1" applyAlignment="1">
      <alignment wrapText="1"/>
    </xf>
    <xf numFmtId="41" fontId="0" fillId="0" borderId="0" xfId="19" applyFill="1" applyAlignment="1">
      <alignment/>
    </xf>
    <xf numFmtId="1" fontId="0" fillId="0" borderId="1" xfId="19" applyNumberFormat="1" applyFont="1" applyFill="1" applyBorder="1" applyAlignment="1">
      <alignment horizontal="center" wrapText="1"/>
    </xf>
    <xf numFmtId="1" fontId="0" fillId="0" borderId="3" xfId="19" applyNumberFormat="1" applyFill="1" applyBorder="1" applyAlignment="1">
      <alignment horizontal="center" wrapText="1"/>
    </xf>
    <xf numFmtId="41" fontId="0" fillId="0" borderId="1" xfId="19" applyFill="1" applyBorder="1" applyAlignment="1">
      <alignment wrapText="1"/>
    </xf>
    <xf numFmtId="41" fontId="0" fillId="0" borderId="3" xfId="19" applyFill="1" applyBorder="1" applyAlignment="1">
      <alignment horizontal="right" wrapText="1"/>
    </xf>
    <xf numFmtId="2" fontId="0" fillId="0" borderId="1" xfId="17" applyNumberFormat="1" applyFill="1" applyBorder="1" applyAlignment="1">
      <alignment wrapText="1"/>
    </xf>
    <xf numFmtId="2" fontId="0" fillId="0" borderId="3" xfId="19" applyNumberFormat="1" applyFill="1" applyBorder="1" applyAlignment="1">
      <alignment horizontal="right" wrapText="1"/>
    </xf>
    <xf numFmtId="2" fontId="0" fillId="0" borderId="1" xfId="19" applyNumberFormat="1" applyFill="1" applyBorder="1" applyAlignment="1">
      <alignment horizontal="right" wrapText="1"/>
    </xf>
    <xf numFmtId="41" fontId="0" fillId="0" borderId="0" xfId="19" applyFill="1" applyAlignment="1">
      <alignment wrapText="1"/>
    </xf>
    <xf numFmtId="41" fontId="0" fillId="0" borderId="0" xfId="19" applyFill="1" applyAlignment="1">
      <alignment horizontal="right" wrapText="1"/>
    </xf>
    <xf numFmtId="0" fontId="10" fillId="0" borderId="2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2" fontId="9" fillId="0" borderId="0" xfId="19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19" applyNumberFormat="1" applyFont="1" applyFill="1" applyAlignment="1">
      <alignment horizontal="right" wrapText="1"/>
    </xf>
    <xf numFmtId="0" fontId="0" fillId="0" borderId="2" xfId="0" applyFont="1" applyFill="1" applyBorder="1" applyAlignment="1">
      <alignment horizontal="center" vertical="center" wrapText="1"/>
    </xf>
    <xf numFmtId="1" fontId="0" fillId="0" borderId="1" xfId="19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1" fontId="0" fillId="0" borderId="3" xfId="19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1" fontId="0" fillId="0" borderId="1" xfId="19" applyFont="1" applyFill="1" applyBorder="1" applyAlignment="1">
      <alignment wrapText="1"/>
    </xf>
    <xf numFmtId="41" fontId="0" fillId="0" borderId="3" xfId="19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0" borderId="2" xfId="0" applyFont="1" applyFill="1" applyBorder="1" applyAlignment="1">
      <alignment wrapText="1"/>
    </xf>
    <xf numFmtId="41" fontId="4" fillId="0" borderId="1" xfId="19" applyFont="1" applyFill="1" applyBorder="1" applyAlignment="1">
      <alignment horizontal="right" wrapText="1"/>
    </xf>
    <xf numFmtId="2" fontId="4" fillId="0" borderId="1" xfId="17" applyNumberFormat="1" applyFont="1" applyFill="1" applyBorder="1" applyAlignment="1">
      <alignment wrapText="1"/>
    </xf>
    <xf numFmtId="165" fontId="4" fillId="0" borderId="3" xfId="19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left" wrapText="1"/>
    </xf>
    <xf numFmtId="2" fontId="0" fillId="0" borderId="1" xfId="0" applyNumberFormat="1" applyFont="1" applyFill="1" applyBorder="1" applyAlignment="1">
      <alignment horizontal="right" wrapText="1"/>
    </xf>
    <xf numFmtId="2" fontId="0" fillId="0" borderId="1" xfId="17" applyNumberFormat="1" applyFont="1" applyFill="1" applyBorder="1" applyAlignment="1">
      <alignment wrapText="1"/>
    </xf>
    <xf numFmtId="2" fontId="0" fillId="0" borderId="3" xfId="19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2" fontId="0" fillId="0" borderId="1" xfId="19" applyNumberFormat="1" applyFont="1" applyFill="1" applyBorder="1" applyAlignment="1">
      <alignment horizontal="right" wrapText="1"/>
    </xf>
    <xf numFmtId="0" fontId="11" fillId="0" borderId="2" xfId="0" applyFont="1" applyFill="1" applyBorder="1" applyAlignment="1">
      <alignment wrapText="1"/>
    </xf>
    <xf numFmtId="2" fontId="0" fillId="0" borderId="1" xfId="19" applyNumberFormat="1" applyFont="1" applyFill="1" applyBorder="1" applyAlignment="1">
      <alignment wrapText="1"/>
    </xf>
    <xf numFmtId="2" fontId="4" fillId="0" borderId="3" xfId="19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9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19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2" fontId="0" fillId="0" borderId="12" xfId="19" applyNumberFormat="1" applyFont="1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2" fontId="0" fillId="0" borderId="12" xfId="17" applyNumberFormat="1" applyFill="1" applyBorder="1" applyAlignment="1">
      <alignment wrapText="1"/>
    </xf>
    <xf numFmtId="2" fontId="0" fillId="0" borderId="13" xfId="19" applyNumberFormat="1" applyFill="1" applyBorder="1" applyAlignment="1">
      <alignment horizontal="right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2" fontId="0" fillId="0" borderId="15" xfId="19" applyNumberFormat="1" applyFont="1" applyFill="1" applyBorder="1" applyAlignment="1">
      <alignment horizontal="right" wrapText="1"/>
    </xf>
    <xf numFmtId="2" fontId="0" fillId="0" borderId="6" xfId="17" applyNumberFormat="1" applyFont="1" applyFill="1" applyBorder="1" applyAlignment="1">
      <alignment wrapText="1"/>
    </xf>
    <xf numFmtId="2" fontId="0" fillId="0" borderId="16" xfId="19" applyNumberFormat="1" applyFont="1" applyFill="1" applyBorder="1" applyAlignment="1">
      <alignment horizontal="right" wrapText="1"/>
    </xf>
    <xf numFmtId="2" fontId="0" fillId="0" borderId="12" xfId="17" applyNumberFormat="1" applyFont="1" applyFill="1" applyBorder="1" applyAlignment="1">
      <alignment wrapText="1"/>
    </xf>
    <xf numFmtId="2" fontId="0" fillId="0" borderId="13" xfId="19" applyNumberFormat="1" applyFont="1" applyFill="1" applyBorder="1" applyAlignment="1">
      <alignment horizontal="right" wrapText="1"/>
    </xf>
    <xf numFmtId="0" fontId="9" fillId="0" borderId="0" xfId="0" applyFont="1" applyFill="1" applyAlignment="1">
      <alignment wrapText="1"/>
    </xf>
    <xf numFmtId="2" fontId="9" fillId="0" borderId="0" xfId="19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19" applyNumberFormat="1" applyFont="1" applyFill="1" applyAlignment="1">
      <alignment horizontal="right" wrapText="1"/>
    </xf>
    <xf numFmtId="2" fontId="0" fillId="0" borderId="12" xfId="17" applyNumberFormat="1" applyFill="1" applyBorder="1" applyAlignment="1">
      <alignment wrapText="1"/>
    </xf>
    <xf numFmtId="2" fontId="0" fillId="0" borderId="13" xfId="19" applyNumberFormat="1" applyFill="1" applyBorder="1" applyAlignment="1">
      <alignment horizontal="right" wrapText="1"/>
    </xf>
    <xf numFmtId="2" fontId="0" fillId="0" borderId="1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2" fontId="11" fillId="0" borderId="1" xfId="0" applyNumberFormat="1" applyFont="1" applyFill="1" applyBorder="1" applyAlignment="1">
      <alignment wrapText="1"/>
    </xf>
    <xf numFmtId="2" fontId="11" fillId="0" borderId="1" xfId="19" applyNumberFormat="1" applyFont="1" applyFill="1" applyBorder="1" applyAlignment="1">
      <alignment horizontal="right" wrapText="1"/>
    </xf>
    <xf numFmtId="0" fontId="0" fillId="0" borderId="17" xfId="0" applyFill="1" applyBorder="1" applyAlignment="1">
      <alignment wrapText="1"/>
    </xf>
    <xf numFmtId="2" fontId="0" fillId="0" borderId="0" xfId="19" applyNumberFormat="1" applyFill="1" applyBorder="1" applyAlignment="1">
      <alignment horizontal="right" wrapText="1"/>
    </xf>
    <xf numFmtId="2" fontId="0" fillId="0" borderId="17" xfId="0" applyNumberFormat="1" applyFill="1" applyBorder="1" applyAlignment="1">
      <alignment wrapText="1"/>
    </xf>
    <xf numFmtId="4" fontId="0" fillId="0" borderId="1" xfId="0" applyNumberFormat="1" applyFont="1" applyFill="1" applyBorder="1" applyAlignment="1">
      <alignment horizontal="right" vertical="top" shrinkToFit="1"/>
    </xf>
    <xf numFmtId="0" fontId="0" fillId="0" borderId="2" xfId="0" applyFont="1" applyFill="1" applyBorder="1" applyAlignment="1">
      <alignment wrapText="1"/>
    </xf>
    <xf numFmtId="2" fontId="0" fillId="0" borderId="1" xfId="19" applyNumberFormat="1" applyFont="1" applyFill="1" applyBorder="1" applyAlignment="1">
      <alignment wrapText="1"/>
    </xf>
    <xf numFmtId="0" fontId="0" fillId="0" borderId="9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right" wrapText="1"/>
    </xf>
    <xf numFmtId="2" fontId="0" fillId="0" borderId="10" xfId="17" applyNumberFormat="1" applyFont="1" applyFill="1" applyBorder="1" applyAlignment="1">
      <alignment wrapText="1"/>
    </xf>
    <xf numFmtId="2" fontId="0" fillId="0" borderId="18" xfId="19" applyNumberFormat="1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left" wrapText="1"/>
    </xf>
    <xf numFmtId="2" fontId="0" fillId="0" borderId="6" xfId="0" applyNumberFormat="1" applyFont="1" applyFill="1" applyBorder="1" applyAlignment="1">
      <alignment horizontal="right" wrapText="1"/>
    </xf>
    <xf numFmtId="2" fontId="0" fillId="0" borderId="20" xfId="17" applyNumberFormat="1" applyFont="1" applyFill="1" applyBorder="1" applyAlignment="1">
      <alignment wrapText="1"/>
    </xf>
    <xf numFmtId="2" fontId="0" fillId="0" borderId="21" xfId="19" applyNumberFormat="1" applyFont="1" applyFill="1" applyBorder="1" applyAlignment="1">
      <alignment horizontal="right" wrapText="1"/>
    </xf>
    <xf numFmtId="0" fontId="4" fillId="2" borderId="2" xfId="0" applyFont="1" applyFill="1" applyBorder="1" applyAlignment="1">
      <alignment wrapText="1"/>
    </xf>
    <xf numFmtId="2" fontId="0" fillId="2" borderId="1" xfId="0" applyNumberFormat="1" applyFont="1" applyFill="1" applyBorder="1" applyAlignment="1">
      <alignment horizontal="right" wrapText="1"/>
    </xf>
    <xf numFmtId="2" fontId="0" fillId="2" borderId="1" xfId="17" applyNumberFormat="1" applyFont="1" applyFill="1" applyBorder="1" applyAlignment="1">
      <alignment wrapText="1"/>
    </xf>
    <xf numFmtId="2" fontId="0" fillId="2" borderId="3" xfId="19" applyNumberFormat="1" applyFont="1" applyFill="1" applyBorder="1" applyAlignment="1">
      <alignment horizontal="right" wrapText="1"/>
    </xf>
    <xf numFmtId="0" fontId="0" fillId="2" borderId="1" xfId="0" applyFont="1" applyFill="1" applyBorder="1" applyAlignment="1">
      <alignment wrapText="1"/>
    </xf>
    <xf numFmtId="2" fontId="0" fillId="2" borderId="1" xfId="0" applyNumberFormat="1" applyFont="1" applyFill="1" applyBorder="1" applyAlignment="1">
      <alignment horizontal="right" wrapText="1"/>
    </xf>
    <xf numFmtId="2" fontId="0" fillId="2" borderId="1" xfId="19" applyNumberFormat="1" applyFont="1" applyFill="1" applyBorder="1" applyAlignment="1">
      <alignment horizontal="right" wrapText="1"/>
    </xf>
    <xf numFmtId="2" fontId="0" fillId="0" borderId="10" xfId="19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2" fontId="0" fillId="0" borderId="6" xfId="0" applyNumberFormat="1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2" fontId="0" fillId="0" borderId="20" xfId="0" applyNumberFormat="1" applyFont="1" applyFill="1" applyBorder="1" applyAlignment="1">
      <alignment wrapText="1"/>
    </xf>
    <xf numFmtId="2" fontId="0" fillId="0" borderId="15" xfId="0" applyNumberFormat="1" applyFont="1" applyFill="1" applyBorder="1" applyAlignment="1">
      <alignment wrapText="1"/>
    </xf>
    <xf numFmtId="2" fontId="0" fillId="0" borderId="15" xfId="19" applyNumberFormat="1" applyFont="1" applyFill="1" applyBorder="1" applyAlignment="1">
      <alignment wrapText="1"/>
    </xf>
    <xf numFmtId="2" fontId="0" fillId="0" borderId="15" xfId="17" applyNumberFormat="1" applyFont="1" applyFill="1" applyBorder="1" applyAlignment="1">
      <alignment wrapText="1"/>
    </xf>
    <xf numFmtId="2" fontId="0" fillId="0" borderId="23" xfId="19" applyNumberFormat="1" applyFont="1" applyFill="1" applyBorder="1" applyAlignment="1">
      <alignment horizontal="right" wrapText="1"/>
    </xf>
    <xf numFmtId="2" fontId="0" fillId="0" borderId="6" xfId="19" applyNumberFormat="1" applyFont="1" applyFill="1" applyBorder="1" applyAlignment="1">
      <alignment horizontal="right" wrapText="1"/>
    </xf>
    <xf numFmtId="0" fontId="0" fillId="0" borderId="9" xfId="0" applyFill="1" applyBorder="1" applyAlignment="1">
      <alignment wrapText="1"/>
    </xf>
    <xf numFmtId="0" fontId="7" fillId="0" borderId="9" xfId="0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 wrapText="1"/>
    </xf>
    <xf numFmtId="2" fontId="2" fillId="0" borderId="10" xfId="19" applyNumberFormat="1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2" fontId="13" fillId="0" borderId="1" xfId="0" applyNumberFormat="1" applyFont="1" applyFill="1" applyBorder="1" applyAlignment="1">
      <alignment wrapText="1"/>
    </xf>
    <xf numFmtId="2" fontId="13" fillId="0" borderId="1" xfId="17" applyNumberFormat="1" applyFont="1" applyFill="1" applyBorder="1" applyAlignment="1">
      <alignment wrapText="1"/>
    </xf>
    <xf numFmtId="2" fontId="13" fillId="0" borderId="3" xfId="19" applyNumberFormat="1" applyFont="1" applyFill="1" applyBorder="1" applyAlignment="1">
      <alignment horizontal="right" wrapText="1"/>
    </xf>
    <xf numFmtId="2" fontId="13" fillId="0" borderId="1" xfId="19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 wrapText="1"/>
    </xf>
    <xf numFmtId="2" fontId="0" fillId="2" borderId="1" xfId="17" applyNumberFormat="1" applyFill="1" applyBorder="1" applyAlignment="1">
      <alignment wrapText="1"/>
    </xf>
    <xf numFmtId="2" fontId="0" fillId="2" borderId="3" xfId="19" applyNumberFormat="1" applyFill="1" applyBorder="1" applyAlignment="1">
      <alignment horizontal="right" wrapText="1"/>
    </xf>
    <xf numFmtId="2" fontId="0" fillId="2" borderId="1" xfId="0" applyNumberFormat="1" applyFill="1" applyBorder="1" applyAlignment="1">
      <alignment horizontal="right" wrapText="1"/>
    </xf>
    <xf numFmtId="2" fontId="0" fillId="0" borderId="10" xfId="17" applyNumberFormat="1" applyFill="1" applyBorder="1" applyAlignment="1">
      <alignment wrapText="1"/>
    </xf>
    <xf numFmtId="2" fontId="0" fillId="0" borderId="18" xfId="19" applyNumberFormat="1" applyFill="1" applyBorder="1" applyAlignment="1">
      <alignment horizontal="right" wrapText="1"/>
    </xf>
    <xf numFmtId="2" fontId="0" fillId="0" borderId="10" xfId="0" applyNumberFormat="1" applyFill="1" applyBorder="1" applyAlignment="1">
      <alignment wrapText="1"/>
    </xf>
    <xf numFmtId="2" fontId="0" fillId="0" borderId="10" xfId="19" applyNumberFormat="1" applyFill="1" applyBorder="1" applyAlignment="1">
      <alignment horizontal="right" wrapText="1"/>
    </xf>
    <xf numFmtId="2" fontId="0" fillId="0" borderId="10" xfId="19" applyNumberFormat="1" applyFill="1" applyBorder="1" applyAlignment="1">
      <alignment wrapText="1"/>
    </xf>
    <xf numFmtId="0" fontId="0" fillId="0" borderId="19" xfId="0" applyFill="1" applyBorder="1" applyAlignment="1">
      <alignment wrapText="1"/>
    </xf>
    <xf numFmtId="2" fontId="0" fillId="0" borderId="6" xfId="0" applyNumberFormat="1" applyFill="1" applyBorder="1" applyAlignment="1">
      <alignment wrapText="1"/>
    </xf>
    <xf numFmtId="2" fontId="0" fillId="0" borderId="6" xfId="17" applyNumberFormat="1" applyFill="1" applyBorder="1" applyAlignment="1">
      <alignment wrapText="1"/>
    </xf>
    <xf numFmtId="2" fontId="0" fillId="0" borderId="16" xfId="19" applyNumberForma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2" fontId="0" fillId="0" borderId="15" xfId="0" applyNumberFormat="1" applyFill="1" applyBorder="1" applyAlignment="1">
      <alignment wrapText="1"/>
    </xf>
    <xf numFmtId="2" fontId="0" fillId="0" borderId="15" xfId="19" applyNumberFormat="1" applyFill="1" applyBorder="1" applyAlignment="1">
      <alignment horizontal="right" wrapText="1"/>
    </xf>
    <xf numFmtId="2" fontId="0" fillId="0" borderId="15" xfId="17" applyNumberFormat="1" applyFill="1" applyBorder="1" applyAlignment="1">
      <alignment wrapText="1"/>
    </xf>
    <xf numFmtId="2" fontId="0" fillId="0" borderId="23" xfId="19" applyNumberFormat="1" applyFill="1" applyBorder="1" applyAlignment="1">
      <alignment horizontal="right" wrapText="1"/>
    </xf>
    <xf numFmtId="2" fontId="0" fillId="0" borderId="6" xfId="19" applyNumberFormat="1" applyFill="1" applyBorder="1" applyAlignment="1">
      <alignment horizontal="right" wrapText="1"/>
    </xf>
    <xf numFmtId="0" fontId="0" fillId="0" borderId="14" xfId="0" applyFill="1" applyBorder="1" applyAlignment="1">
      <alignment wrapText="1"/>
    </xf>
    <xf numFmtId="2" fontId="0" fillId="0" borderId="15" xfId="19" applyNumberFormat="1" applyFill="1" applyBorder="1" applyAlignment="1">
      <alignment wrapText="1"/>
    </xf>
    <xf numFmtId="0" fontId="0" fillId="0" borderId="22" xfId="0" applyFill="1" applyBorder="1" applyAlignment="1">
      <alignment wrapText="1"/>
    </xf>
    <xf numFmtId="2" fontId="0" fillId="0" borderId="20" xfId="0" applyNumberFormat="1" applyFill="1" applyBorder="1" applyAlignment="1">
      <alignment wrapText="1"/>
    </xf>
    <xf numFmtId="2" fontId="0" fillId="0" borderId="20" xfId="17" applyNumberFormat="1" applyFill="1" applyBorder="1" applyAlignment="1">
      <alignment wrapText="1"/>
    </xf>
    <xf numFmtId="2" fontId="0" fillId="0" borderId="21" xfId="19" applyNumberFormat="1" applyFill="1" applyBorder="1" applyAlignment="1">
      <alignment horizontal="right" wrapText="1"/>
    </xf>
    <xf numFmtId="0" fontId="3" fillId="0" borderId="22" xfId="0" applyFont="1" applyFill="1" applyBorder="1" applyAlignment="1">
      <alignment wrapText="1"/>
    </xf>
    <xf numFmtId="2" fontId="0" fillId="3" borderId="1" xfId="0" applyNumberFormat="1" applyFill="1" applyBorder="1" applyAlignment="1">
      <alignment horizontal="right" wrapText="1"/>
    </xf>
    <xf numFmtId="0" fontId="0" fillId="3" borderId="2" xfId="0" applyFill="1" applyBorder="1" applyAlignment="1">
      <alignment wrapText="1"/>
    </xf>
    <xf numFmtId="2" fontId="0" fillId="3" borderId="1" xfId="0" applyNumberFormat="1" applyFill="1" applyBorder="1" applyAlignment="1">
      <alignment wrapText="1"/>
    </xf>
    <xf numFmtId="2" fontId="0" fillId="3" borderId="1" xfId="19" applyNumberFormat="1" applyFill="1" applyBorder="1" applyAlignment="1">
      <alignment horizontal="right" wrapText="1"/>
    </xf>
    <xf numFmtId="2" fontId="0" fillId="3" borderId="20" xfId="19" applyNumberFormat="1" applyFill="1" applyBorder="1" applyAlignment="1">
      <alignment horizontal="right" wrapText="1"/>
    </xf>
    <xf numFmtId="2" fontId="0" fillId="3" borderId="20" xfId="0" applyNumberFormat="1" applyFill="1" applyBorder="1" applyAlignment="1">
      <alignment wrapText="1"/>
    </xf>
    <xf numFmtId="2" fontId="0" fillId="3" borderId="20" xfId="0" applyNumberFormat="1" applyFill="1" applyBorder="1" applyAlignment="1">
      <alignment horizontal="right" wrapText="1"/>
    </xf>
    <xf numFmtId="2" fontId="11" fillId="3" borderId="1" xfId="0" applyNumberFormat="1" applyFont="1" applyFill="1" applyBorder="1" applyAlignment="1">
      <alignment wrapText="1"/>
    </xf>
    <xf numFmtId="2" fontId="0" fillId="3" borderId="6" xfId="0" applyNumberForma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2" fontId="13" fillId="0" borderId="1" xfId="0" applyNumberFormat="1" applyFont="1" applyFill="1" applyBorder="1" applyAlignment="1">
      <alignment wrapText="1"/>
    </xf>
    <xf numFmtId="2" fontId="13" fillId="0" borderId="1" xfId="17" applyNumberFormat="1" applyFont="1" applyFill="1" applyBorder="1" applyAlignment="1">
      <alignment wrapText="1"/>
    </xf>
    <xf numFmtId="2" fontId="13" fillId="0" borderId="3" xfId="19" applyNumberFormat="1" applyFont="1" applyFill="1" applyBorder="1" applyAlignment="1">
      <alignment horizontal="right" wrapText="1"/>
    </xf>
    <xf numFmtId="0" fontId="14" fillId="0" borderId="2" xfId="0" applyFont="1" applyFill="1" applyBorder="1" applyAlignment="1">
      <alignment wrapText="1"/>
    </xf>
    <xf numFmtId="2" fontId="13" fillId="0" borderId="1" xfId="19" applyNumberFormat="1" applyFont="1" applyFill="1" applyBorder="1" applyAlignment="1">
      <alignment horizontal="right" wrapText="1"/>
    </xf>
    <xf numFmtId="2" fontId="0" fillId="3" borderId="1" xfId="0" applyNumberFormat="1" applyFont="1" applyFill="1" applyBorder="1" applyAlignment="1">
      <alignment horizontal="right" wrapText="1"/>
    </xf>
    <xf numFmtId="2" fontId="0" fillId="3" borderId="1" xfId="0" applyNumberFormat="1" applyFont="1" applyFill="1" applyBorder="1" applyAlignment="1">
      <alignment wrapText="1"/>
    </xf>
    <xf numFmtId="2" fontId="0" fillId="3" borderId="20" xfId="0" applyNumberFormat="1" applyFont="1" applyFill="1" applyBorder="1" applyAlignment="1">
      <alignment wrapText="1"/>
    </xf>
    <xf numFmtId="2" fontId="0" fillId="3" borderId="20" xfId="0" applyNumberFormat="1" applyFont="1" applyFill="1" applyBorder="1" applyAlignment="1">
      <alignment horizontal="right" wrapText="1"/>
    </xf>
    <xf numFmtId="2" fontId="0" fillId="3" borderId="6" xfId="0" applyNumberFormat="1" applyFont="1" applyFill="1" applyBorder="1" applyAlignment="1">
      <alignment wrapText="1"/>
    </xf>
    <xf numFmtId="2" fontId="0" fillId="3" borderId="1" xfId="0" applyNumberFormat="1" applyFont="1" applyFill="1" applyBorder="1" applyAlignment="1">
      <alignment wrapText="1"/>
    </xf>
    <xf numFmtId="2" fontId="0" fillId="3" borderId="12" xfId="0" applyNumberFormat="1" applyFill="1" applyBorder="1" applyAlignment="1">
      <alignment wrapText="1"/>
    </xf>
    <xf numFmtId="2" fontId="0" fillId="3" borderId="12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 wrapText="1"/>
    </xf>
    <xf numFmtId="2" fontId="0" fillId="3" borderId="1" xfId="0" applyNumberFormat="1" applyFont="1" applyFill="1" applyBorder="1" applyAlignment="1">
      <alignment horizontal="right" wrapText="1"/>
    </xf>
    <xf numFmtId="2" fontId="11" fillId="3" borderId="1" xfId="19" applyNumberFormat="1" applyFont="1" applyFill="1" applyBorder="1" applyAlignment="1">
      <alignment horizontal="right" wrapText="1"/>
    </xf>
    <xf numFmtId="2" fontId="4" fillId="2" borderId="1" xfId="0" applyNumberFormat="1" applyFont="1" applyFill="1" applyBorder="1" applyAlignment="1">
      <alignment wrapText="1"/>
    </xf>
    <xf numFmtId="2" fontId="0" fillId="3" borderId="1" xfId="19" applyNumberFormat="1" applyFill="1" applyBorder="1" applyAlignment="1">
      <alignment horizontal="right" wrapText="1"/>
    </xf>
    <xf numFmtId="2" fontId="0" fillId="3" borderId="1" xfId="0" applyNumberFormat="1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right" wrapText="1"/>
    </xf>
    <xf numFmtId="2" fontId="2" fillId="3" borderId="1" xfId="19" applyNumberFormat="1" applyFont="1" applyFill="1" applyBorder="1" applyAlignment="1">
      <alignment wrapText="1"/>
    </xf>
    <xf numFmtId="2" fontId="0" fillId="3" borderId="1" xfId="19" applyNumberFormat="1" applyFont="1" applyFill="1" applyBorder="1" applyAlignment="1">
      <alignment horizontal="right" wrapText="1"/>
    </xf>
    <xf numFmtId="2" fontId="11" fillId="3" borderId="1" xfId="0" applyNumberFormat="1" applyFont="1" applyFill="1" applyBorder="1" applyAlignment="1">
      <alignment/>
    </xf>
    <xf numFmtId="2" fontId="0" fillId="3" borderId="1" xfId="0" applyNumberFormat="1" applyFont="1" applyFill="1" applyBorder="1" applyAlignment="1">
      <alignment/>
    </xf>
    <xf numFmtId="2" fontId="13" fillId="3" borderId="1" xfId="0" applyNumberFormat="1" applyFont="1" applyFill="1" applyBorder="1" applyAlignment="1">
      <alignment wrapText="1"/>
    </xf>
    <xf numFmtId="2" fontId="0" fillId="2" borderId="1" xfId="17" applyNumberFormat="1" applyFill="1" applyBorder="1" applyAlignment="1">
      <alignment wrapText="1"/>
    </xf>
    <xf numFmtId="2" fontId="0" fillId="2" borderId="3" xfId="19" applyNumberFormat="1" applyFill="1" applyBorder="1" applyAlignment="1">
      <alignment horizontal="right" wrapText="1"/>
    </xf>
    <xf numFmtId="0" fontId="4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2" fontId="13" fillId="0" borderId="1" xfId="19" applyNumberFormat="1" applyFont="1" applyFill="1" applyBorder="1" applyAlignment="1">
      <alignment wrapText="1"/>
    </xf>
    <xf numFmtId="2" fontId="0" fillId="0" borderId="1" xfId="17" applyNumberFormat="1" applyFont="1" applyFill="1" applyBorder="1" applyAlignment="1">
      <alignment wrapText="1"/>
    </xf>
    <xf numFmtId="2" fontId="0" fillId="0" borderId="3" xfId="19" applyNumberFormat="1" applyFont="1" applyFill="1" applyBorder="1" applyAlignment="1">
      <alignment horizontal="right" wrapText="1"/>
    </xf>
    <xf numFmtId="4" fontId="8" fillId="0" borderId="10" xfId="0" applyNumberFormat="1" applyFont="1" applyBorder="1" applyAlignment="1">
      <alignment horizontal="right" vertical="top" shrinkToFit="1"/>
    </xf>
    <xf numFmtId="2" fontId="0" fillId="0" borderId="22" xfId="0" applyNumberFormat="1" applyFont="1" applyFill="1" applyBorder="1" applyAlignment="1">
      <alignment wrapText="1"/>
    </xf>
    <xf numFmtId="4" fontId="8" fillId="0" borderId="10" xfId="0" applyNumberFormat="1" applyFont="1" applyBorder="1" applyAlignment="1">
      <alignment vertical="top" shrinkToFit="1"/>
    </xf>
    <xf numFmtId="2" fontId="0" fillId="0" borderId="15" xfId="19" applyNumberFormat="1" applyFont="1" applyFill="1" applyBorder="1" applyAlignment="1">
      <alignment horizontal="right" wrapText="1"/>
    </xf>
    <xf numFmtId="2" fontId="12" fillId="0" borderId="1" xfId="0" applyNumberFormat="1" applyFont="1" applyFill="1" applyBorder="1" applyAlignment="1">
      <alignment wrapText="1"/>
    </xf>
    <xf numFmtId="2" fontId="4" fillId="0" borderId="1" xfId="17" applyNumberFormat="1" applyFont="1" applyFill="1" applyBorder="1" applyAlignment="1">
      <alignment wrapText="1"/>
    </xf>
    <xf numFmtId="2" fontId="4" fillId="0" borderId="3" xfId="19" applyNumberFormat="1" applyFont="1" applyFill="1" applyBorder="1" applyAlignment="1">
      <alignment horizontal="right" wrapText="1"/>
    </xf>
    <xf numFmtId="2" fontId="0" fillId="3" borderId="17" xfId="0" applyNumberFormat="1" applyFill="1" applyBorder="1" applyAlignment="1">
      <alignment wrapText="1"/>
    </xf>
    <xf numFmtId="2" fontId="0" fillId="0" borderId="0" xfId="0" applyNumberFormat="1" applyAlignment="1">
      <alignment/>
    </xf>
    <xf numFmtId="0" fontId="13" fillId="0" borderId="2" xfId="0" applyFont="1" applyFill="1" applyBorder="1" applyAlignment="1">
      <alignment horizontal="left" wrapText="1"/>
    </xf>
    <xf numFmtId="0" fontId="0" fillId="0" borderId="24" xfId="0" applyFill="1" applyBorder="1" applyAlignment="1">
      <alignment wrapText="1"/>
    </xf>
    <xf numFmtId="2" fontId="0" fillId="3" borderId="25" xfId="0" applyNumberFormat="1" applyFill="1" applyBorder="1" applyAlignment="1">
      <alignment wrapText="1"/>
    </xf>
    <xf numFmtId="2" fontId="0" fillId="0" borderId="25" xfId="17" applyNumberFormat="1" applyFill="1" applyBorder="1" applyAlignment="1">
      <alignment wrapText="1"/>
    </xf>
    <xf numFmtId="2" fontId="0" fillId="0" borderId="26" xfId="19" applyNumberFormat="1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2" fontId="0" fillId="2" borderId="1" xfId="17" applyNumberFormat="1" applyFont="1" applyFill="1" applyBorder="1" applyAlignment="1">
      <alignment wrapText="1"/>
    </xf>
    <xf numFmtId="2" fontId="9" fillId="0" borderId="0" xfId="0" applyNumberFormat="1" applyFont="1" applyFill="1" applyAlignment="1">
      <alignment horizontal="center" wrapText="1"/>
    </xf>
    <xf numFmtId="41" fontId="5" fillId="0" borderId="0" xfId="19" applyFont="1" applyFill="1" applyAlignment="1">
      <alignment horizontal="center"/>
    </xf>
    <xf numFmtId="41" fontId="6" fillId="0" borderId="0" xfId="19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zoomScaleSheetLayoutView="75" workbookViewId="0" topLeftCell="A22">
      <selection activeCell="A89" sqref="A89"/>
    </sheetView>
  </sheetViews>
  <sheetFormatPr defaultColWidth="9.00390625" defaultRowHeight="12.75"/>
  <cols>
    <col min="1" max="1" width="90.875" style="4" customWidth="1"/>
    <col min="2" max="2" width="13.625" style="4" customWidth="1"/>
    <col min="3" max="3" width="16.375" style="5" customWidth="1"/>
    <col min="4" max="4" width="14.25390625" style="4" customWidth="1"/>
    <col min="5" max="5" width="16.125" style="1" customWidth="1"/>
    <col min="6" max="6" width="14.00390625" style="4" customWidth="1"/>
    <col min="7" max="9" width="9.125" style="4" customWidth="1"/>
    <col min="10" max="10" width="2.125" style="4" customWidth="1"/>
    <col min="11" max="16384" width="9.125" style="4" customWidth="1"/>
  </cols>
  <sheetData>
    <row r="1" spans="1:10" s="21" customFormat="1" ht="18">
      <c r="A1" s="251" t="s">
        <v>317</v>
      </c>
      <c r="B1" s="251"/>
      <c r="C1" s="251"/>
      <c r="D1" s="251"/>
      <c r="E1" s="251"/>
      <c r="F1" s="20"/>
      <c r="G1" s="20"/>
      <c r="H1" s="20"/>
      <c r="I1" s="20"/>
      <c r="J1" s="20"/>
    </row>
    <row r="2" spans="1:5" ht="13.5" thickBot="1">
      <c r="A2" s="38"/>
      <c r="B2" s="38"/>
      <c r="C2" s="39"/>
      <c r="D2" s="38"/>
      <c r="E2" s="38" t="s">
        <v>0</v>
      </c>
    </row>
    <row r="3" spans="1:5" s="23" customFormat="1" ht="96.75" customHeight="1">
      <c r="A3" s="35" t="s">
        <v>1</v>
      </c>
      <c r="B3" s="19" t="s">
        <v>286</v>
      </c>
      <c r="C3" s="32" t="s">
        <v>307</v>
      </c>
      <c r="D3" s="19" t="s">
        <v>278</v>
      </c>
      <c r="E3" s="37" t="s">
        <v>279</v>
      </c>
    </row>
    <row r="4" spans="1:5" s="73" customFormat="1" ht="10.5" customHeight="1">
      <c r="A4" s="69">
        <v>1</v>
      </c>
      <c r="B4" s="102">
        <v>2</v>
      </c>
      <c r="C4" s="70">
        <v>3</v>
      </c>
      <c r="D4" s="71">
        <v>4</v>
      </c>
      <c r="E4" s="72">
        <v>5</v>
      </c>
    </row>
    <row r="5" spans="1:5" s="76" customFormat="1" ht="12.75">
      <c r="A5" s="22" t="s">
        <v>2</v>
      </c>
      <c r="B5" s="11"/>
      <c r="C5" s="74"/>
      <c r="D5" s="31"/>
      <c r="E5" s="75"/>
    </row>
    <row r="6" spans="1:5" s="9" customFormat="1" ht="12.75" customHeight="1" hidden="1">
      <c r="A6" s="77" t="s">
        <v>37</v>
      </c>
      <c r="B6" s="78"/>
      <c r="C6" s="78" t="e">
        <f>SUM(C7,C11,C14,C17,#REF!,#REF!,C10,)</f>
        <v>#REF!</v>
      </c>
      <c r="D6" s="79" t="e">
        <f>IF(#REF!=0,"   ",C6/#REF!)</f>
        <v>#REF!</v>
      </c>
      <c r="E6" s="80" t="e">
        <f>C6-#REF!</f>
        <v>#REF!</v>
      </c>
    </row>
    <row r="7" spans="1:5" s="85" customFormat="1" ht="12.75">
      <c r="A7" s="81" t="s">
        <v>58</v>
      </c>
      <c r="B7" s="206">
        <f>SUM(B9)</f>
        <v>165500</v>
      </c>
      <c r="C7" s="206">
        <f>C9</f>
        <v>20497.34</v>
      </c>
      <c r="D7" s="83">
        <f>IF(B7=0,"   ",C7/B7*100)</f>
        <v>12.385099697885197</v>
      </c>
      <c r="E7" s="84">
        <f>C7-B7</f>
        <v>-145002.66</v>
      </c>
    </row>
    <row r="8" spans="1:5" s="76" customFormat="1" ht="12.75" customHeight="1" hidden="1">
      <c r="A8" s="47" t="s">
        <v>3</v>
      </c>
      <c r="B8" s="31">
        <v>387940</v>
      </c>
      <c r="C8" s="86">
        <v>217766</v>
      </c>
      <c r="D8" s="83" t="e">
        <f>IF(#REF!=0,"   ",C8/#REF!)</f>
        <v>#REF!</v>
      </c>
      <c r="E8" s="84" t="e">
        <f>C8-#REF!</f>
        <v>#REF!</v>
      </c>
    </row>
    <row r="9" spans="1:5" s="76" customFormat="1" ht="12.75">
      <c r="A9" s="47" t="s">
        <v>186</v>
      </c>
      <c r="B9" s="31">
        <v>165500</v>
      </c>
      <c r="C9" s="86">
        <v>20497.34</v>
      </c>
      <c r="D9" s="83">
        <f>IF(B9=0,"   ",C9/B9*100)</f>
        <v>12.385099697885197</v>
      </c>
      <c r="E9" s="84">
        <f>C9-B9</f>
        <v>-145002.66</v>
      </c>
    </row>
    <row r="10" spans="1:5" s="76" customFormat="1" ht="12.75" customHeight="1" hidden="1">
      <c r="A10" s="47" t="s">
        <v>35</v>
      </c>
      <c r="B10" s="31"/>
      <c r="C10" s="86">
        <v>175</v>
      </c>
      <c r="D10" s="83"/>
      <c r="E10" s="84"/>
    </row>
    <row r="11" spans="1:5" s="85" customFormat="1" ht="12.75" customHeight="1" hidden="1">
      <c r="A11" s="47" t="s">
        <v>4</v>
      </c>
      <c r="B11" s="31">
        <f>SUM(B12:B13)</f>
        <v>1848003</v>
      </c>
      <c r="C11" s="31">
        <f>SUM(C12:C13)</f>
        <v>1704024</v>
      </c>
      <c r="D11" s="83" t="e">
        <f>IF(#REF!=0,"   ",C11/#REF!)</f>
        <v>#REF!</v>
      </c>
      <c r="E11" s="84" t="e">
        <f>C11-#REF!</f>
        <v>#REF!</v>
      </c>
    </row>
    <row r="12" spans="1:5" s="76" customFormat="1" ht="12.75" customHeight="1" hidden="1">
      <c r="A12" s="47" t="s">
        <v>5</v>
      </c>
      <c r="B12" s="31">
        <v>17853</v>
      </c>
      <c r="C12" s="86">
        <v>13730</v>
      </c>
      <c r="D12" s="83" t="e">
        <f>IF(#REF!=0,"   ",C12/#REF!)</f>
        <v>#REF!</v>
      </c>
      <c r="E12" s="84" t="e">
        <f>C12-#REF!</f>
        <v>#REF!</v>
      </c>
    </row>
    <row r="13" spans="1:5" s="76" customFormat="1" ht="12.75" customHeight="1" hidden="1">
      <c r="A13" s="47" t="s">
        <v>6</v>
      </c>
      <c r="B13" s="31">
        <v>1830150</v>
      </c>
      <c r="C13" s="86">
        <v>1690294</v>
      </c>
      <c r="D13" s="83" t="e">
        <f>IF(#REF!=0,"   ",C13/#REF!)</f>
        <v>#REF!</v>
      </c>
      <c r="E13" s="84" t="e">
        <f>C13-#REF!</f>
        <v>#REF!</v>
      </c>
    </row>
    <row r="14" spans="1:5" s="85" customFormat="1" ht="12.75">
      <c r="A14" s="47" t="s">
        <v>7</v>
      </c>
      <c r="B14" s="206">
        <f>SUM(B16)</f>
        <v>65800</v>
      </c>
      <c r="C14" s="207">
        <f>SUM(C16:C16)</f>
        <v>2183.3</v>
      </c>
      <c r="D14" s="83">
        <f>IF(B14=0,"   ",C14/B14*100)</f>
        <v>3.3180851063829793</v>
      </c>
      <c r="E14" s="84">
        <f>C14-B14</f>
        <v>-63616.7</v>
      </c>
    </row>
    <row r="15" spans="1:5" s="76" customFormat="1" ht="12.75" customHeight="1" hidden="1">
      <c r="A15" s="47" t="s">
        <v>8</v>
      </c>
      <c r="B15" s="31">
        <v>103725</v>
      </c>
      <c r="C15" s="86">
        <v>92515</v>
      </c>
      <c r="D15" s="83" t="e">
        <f>IF(#REF!=0,"   ",C15/#REF!)</f>
        <v>#REF!</v>
      </c>
      <c r="E15" s="84" t="e">
        <f>C15-#REF!</f>
        <v>#REF!</v>
      </c>
    </row>
    <row r="16" spans="1:5" s="76" customFormat="1" ht="12.75">
      <c r="A16" s="47" t="s">
        <v>187</v>
      </c>
      <c r="B16" s="31">
        <v>65800</v>
      </c>
      <c r="C16" s="86">
        <v>2183.3</v>
      </c>
      <c r="D16" s="83">
        <f aca="true" t="shared" si="0" ref="D16:D27">IF(B16=0,"   ",C16/B16*100)</f>
        <v>3.3180851063829793</v>
      </c>
      <c r="E16" s="84">
        <f aca="true" t="shared" si="1" ref="E16:E27">C16-B16</f>
        <v>-63616.7</v>
      </c>
    </row>
    <row r="17" spans="1:5" s="76" customFormat="1" ht="12.75">
      <c r="A17" s="47" t="s">
        <v>9</v>
      </c>
      <c r="B17" s="207">
        <f>SUM(B18:B19)</f>
        <v>272800</v>
      </c>
      <c r="C17" s="207">
        <f>SUM(C18:C19)</f>
        <v>28598.18</v>
      </c>
      <c r="D17" s="83">
        <f t="shared" si="0"/>
        <v>10.483203812316717</v>
      </c>
      <c r="E17" s="84">
        <f t="shared" si="1"/>
        <v>-244201.82</v>
      </c>
    </row>
    <row r="18" spans="1:5" s="76" customFormat="1" ht="12.75">
      <c r="A18" s="47" t="s">
        <v>188</v>
      </c>
      <c r="B18" s="31">
        <v>70000</v>
      </c>
      <c r="C18" s="86">
        <v>3380.99</v>
      </c>
      <c r="D18" s="83">
        <f t="shared" si="0"/>
        <v>4.829985714285714</v>
      </c>
      <c r="E18" s="84">
        <f t="shared" si="1"/>
        <v>-66619.01</v>
      </c>
    </row>
    <row r="19" spans="1:5" s="76" customFormat="1" ht="12.75">
      <c r="A19" s="47" t="s">
        <v>189</v>
      </c>
      <c r="B19" s="31">
        <v>202800</v>
      </c>
      <c r="C19" s="86">
        <v>25217.19</v>
      </c>
      <c r="D19" s="83">
        <f t="shared" si="0"/>
        <v>12.434511834319526</v>
      </c>
      <c r="E19" s="84">
        <f t="shared" si="1"/>
        <v>-177582.81</v>
      </c>
    </row>
    <row r="20" spans="1:5" s="76" customFormat="1" ht="30" customHeight="1">
      <c r="A20" s="47" t="s">
        <v>126</v>
      </c>
      <c r="B20" s="31">
        <v>0</v>
      </c>
      <c r="C20" s="31">
        <v>0</v>
      </c>
      <c r="D20" s="83" t="str">
        <f t="shared" si="0"/>
        <v>   </v>
      </c>
      <c r="E20" s="84">
        <f t="shared" si="1"/>
        <v>0</v>
      </c>
    </row>
    <row r="21" spans="1:5" s="76" customFormat="1" ht="24.75" customHeight="1">
      <c r="A21" s="47" t="s">
        <v>40</v>
      </c>
      <c r="B21" s="207">
        <f>SUM(B22:B23)</f>
        <v>95900</v>
      </c>
      <c r="C21" s="206">
        <f>SUM(C22:C23)</f>
        <v>4290.82</v>
      </c>
      <c r="D21" s="83">
        <f t="shared" si="0"/>
        <v>4.474264859228363</v>
      </c>
      <c r="E21" s="84">
        <f t="shared" si="1"/>
        <v>-91609.18</v>
      </c>
    </row>
    <row r="22" spans="1:5" s="76" customFormat="1" ht="12.75">
      <c r="A22" s="47" t="s">
        <v>41</v>
      </c>
      <c r="B22" s="31">
        <v>92900</v>
      </c>
      <c r="C22" s="86">
        <v>4290.82</v>
      </c>
      <c r="D22" s="83">
        <f t="shared" si="0"/>
        <v>4.618751345532831</v>
      </c>
      <c r="E22" s="84">
        <f t="shared" si="1"/>
        <v>-88609.18</v>
      </c>
    </row>
    <row r="23" spans="1:5" s="76" customFormat="1" ht="24.75" customHeight="1">
      <c r="A23" s="47" t="s">
        <v>42</v>
      </c>
      <c r="B23" s="31">
        <v>3000</v>
      </c>
      <c r="C23" s="86">
        <v>0</v>
      </c>
      <c r="D23" s="83">
        <f t="shared" si="0"/>
        <v>0</v>
      </c>
      <c r="E23" s="84">
        <f t="shared" si="1"/>
        <v>-3000</v>
      </c>
    </row>
    <row r="24" spans="1:5" s="76" customFormat="1" ht="18.75" customHeight="1">
      <c r="A24" s="47" t="s">
        <v>131</v>
      </c>
      <c r="B24" s="82">
        <v>0</v>
      </c>
      <c r="C24" s="86">
        <v>0</v>
      </c>
      <c r="D24" s="83"/>
      <c r="E24" s="84">
        <f t="shared" si="1"/>
        <v>0</v>
      </c>
    </row>
    <row r="25" spans="1:5" s="76" customFormat="1" ht="16.5" customHeight="1">
      <c r="A25" s="47" t="s">
        <v>104</v>
      </c>
      <c r="B25" s="206">
        <v>0</v>
      </c>
      <c r="C25" s="206">
        <f>C26</f>
        <v>0</v>
      </c>
      <c r="D25" s="83" t="str">
        <f t="shared" si="0"/>
        <v>   </v>
      </c>
      <c r="E25" s="84">
        <f t="shared" si="1"/>
        <v>0</v>
      </c>
    </row>
    <row r="26" spans="1:5" s="76" customFormat="1" ht="27.75" customHeight="1">
      <c r="A26" s="47" t="s">
        <v>105</v>
      </c>
      <c r="B26" s="31">
        <v>0</v>
      </c>
      <c r="C26" s="233">
        <v>0</v>
      </c>
      <c r="D26" s="83" t="str">
        <f t="shared" si="0"/>
        <v>   </v>
      </c>
      <c r="E26" s="84">
        <f t="shared" si="1"/>
        <v>0</v>
      </c>
    </row>
    <row r="27" spans="1:5" s="76" customFormat="1" ht="15" customHeight="1">
      <c r="A27" s="47" t="s">
        <v>44</v>
      </c>
      <c r="B27" s="207">
        <f>B30+B31</f>
        <v>0</v>
      </c>
      <c r="C27" s="207">
        <f>SUM(C30:C31)</f>
        <v>1579.01</v>
      </c>
      <c r="D27" s="83" t="str">
        <f t="shared" si="0"/>
        <v>   </v>
      </c>
      <c r="E27" s="84">
        <f t="shared" si="1"/>
        <v>1579.01</v>
      </c>
    </row>
    <row r="28" spans="1:5" s="76" customFormat="1" ht="12.75" customHeight="1" hidden="1">
      <c r="A28" s="87" t="s">
        <v>45</v>
      </c>
      <c r="B28" s="31"/>
      <c r="C28" s="88"/>
      <c r="D28" s="83" t="e">
        <f>IF(#REF!=0,"   ",C28/#REF!)</f>
        <v>#REF!</v>
      </c>
      <c r="E28" s="84" t="e">
        <f>C28-#REF!</f>
        <v>#REF!</v>
      </c>
    </row>
    <row r="29" spans="1:5" s="9" customFormat="1" ht="12.75" customHeight="1" hidden="1">
      <c r="A29" s="87" t="s">
        <v>20</v>
      </c>
      <c r="B29" s="48">
        <f>SUM(B35,B49,B50,B47)</f>
        <v>1666625</v>
      </c>
      <c r="C29" s="50">
        <f>SUM(C35,C49,C50,C51)</f>
        <v>603906</v>
      </c>
      <c r="D29" s="83" t="e">
        <f>IF(#REF!=0,"   ",C29/#REF!)</f>
        <v>#REF!</v>
      </c>
      <c r="E29" s="84" t="e">
        <f>C29-#REF!</f>
        <v>#REF!</v>
      </c>
    </row>
    <row r="30" spans="1:5" s="9" customFormat="1" ht="25.5">
      <c r="A30" s="47" t="s">
        <v>118</v>
      </c>
      <c r="B30" s="48">
        <v>0</v>
      </c>
      <c r="C30" s="50">
        <v>0</v>
      </c>
      <c r="D30" s="83" t="str">
        <f>IF(B30=0,"   ",C30/B30*100)</f>
        <v>   </v>
      </c>
      <c r="E30" s="84">
        <f>C30-B30</f>
        <v>0</v>
      </c>
    </row>
    <row r="31" spans="1:5" s="9" customFormat="1" ht="15" customHeight="1">
      <c r="A31" s="47" t="s">
        <v>179</v>
      </c>
      <c r="B31" s="31">
        <v>0</v>
      </c>
      <c r="C31" s="82">
        <v>1579.01</v>
      </c>
      <c r="D31" s="83" t="str">
        <f>IF(B31=0,"   ",C31/B31*100)</f>
        <v>   </v>
      </c>
      <c r="E31" s="84">
        <f>C31-B31</f>
        <v>1579.01</v>
      </c>
    </row>
    <row r="32" spans="1:5" s="9" customFormat="1" ht="12.75" customHeight="1" hidden="1">
      <c r="A32" s="47" t="s">
        <v>59</v>
      </c>
      <c r="B32" s="48"/>
      <c r="C32" s="82">
        <v>0</v>
      </c>
      <c r="D32" s="83" t="e">
        <f>IF(#REF!=0,"   ",C32/#REF!)</f>
        <v>#REF!</v>
      </c>
      <c r="E32" s="84" t="e">
        <f>C32-#REF!</f>
        <v>#REF!</v>
      </c>
    </row>
    <row r="33" spans="1:5" s="9" customFormat="1" ht="0.75" customHeight="1" hidden="1">
      <c r="A33" s="128" t="s">
        <v>60</v>
      </c>
      <c r="B33" s="129">
        <v>1250</v>
      </c>
      <c r="C33" s="130"/>
      <c r="D33" s="131" t="e">
        <f>IF(#REF!=0,"   ",C33/#REF!)</f>
        <v>#REF!</v>
      </c>
      <c r="E33" s="132" t="e">
        <f>C33-#REF!</f>
        <v>#REF!</v>
      </c>
    </row>
    <row r="34" spans="1:5" s="9" customFormat="1" ht="12.75">
      <c r="A34" s="141" t="s">
        <v>11</v>
      </c>
      <c r="B34" s="142">
        <f>B7+B14+B17+B20+B21+B24+B25+B27</f>
        <v>600000</v>
      </c>
      <c r="C34" s="142">
        <f>SUM(C7,C14,C17,C20,C21,C24,C25,C27,)</f>
        <v>57148.65</v>
      </c>
      <c r="D34" s="139">
        <f aca="true" t="shared" si="2" ref="D34:D46">IF(B34=0,"   ",C34/B34*100)</f>
        <v>9.524775</v>
      </c>
      <c r="E34" s="143">
        <f aca="true" t="shared" si="3" ref="E34:E46">C34-B34</f>
        <v>-542851.35</v>
      </c>
    </row>
    <row r="35" spans="1:5" s="76" customFormat="1" ht="12.75">
      <c r="A35" s="133" t="s">
        <v>46</v>
      </c>
      <c r="B35" s="134">
        <v>1337700</v>
      </c>
      <c r="C35" s="233">
        <v>233800</v>
      </c>
      <c r="D35" s="106">
        <f t="shared" si="2"/>
        <v>17.47776033490319</v>
      </c>
      <c r="E35" s="107">
        <f t="shared" si="3"/>
        <v>-1103900</v>
      </c>
    </row>
    <row r="36" spans="1:5" s="76" customFormat="1" ht="26.25" customHeight="1">
      <c r="A36" s="47" t="s">
        <v>62</v>
      </c>
      <c r="B36" s="31">
        <v>614300</v>
      </c>
      <c r="C36" s="233">
        <v>100000</v>
      </c>
      <c r="D36" s="83">
        <f t="shared" si="2"/>
        <v>16.278691193228063</v>
      </c>
      <c r="E36" s="84">
        <f t="shared" si="3"/>
        <v>-514300</v>
      </c>
    </row>
    <row r="37" spans="1:5" s="76" customFormat="1" ht="38.25" customHeight="1">
      <c r="A37" s="159" t="s">
        <v>67</v>
      </c>
      <c r="B37" s="160">
        <v>50300</v>
      </c>
      <c r="C37" s="160">
        <v>8400</v>
      </c>
      <c r="D37" s="161">
        <f t="shared" si="2"/>
        <v>16.69980119284294</v>
      </c>
      <c r="E37" s="162">
        <f t="shared" si="3"/>
        <v>-41900</v>
      </c>
    </row>
    <row r="38" spans="1:5" s="76" customFormat="1" ht="24.75" customHeight="1">
      <c r="A38" s="159" t="s">
        <v>140</v>
      </c>
      <c r="B38" s="160">
        <v>100</v>
      </c>
      <c r="C38" s="163">
        <v>0</v>
      </c>
      <c r="D38" s="161">
        <f t="shared" si="2"/>
        <v>0</v>
      </c>
      <c r="E38" s="162">
        <f t="shared" si="3"/>
        <v>-100</v>
      </c>
    </row>
    <row r="39" spans="1:5" s="76" customFormat="1" ht="12.75" customHeight="1">
      <c r="A39" s="47" t="s">
        <v>73</v>
      </c>
      <c r="B39" s="31">
        <v>0</v>
      </c>
      <c r="C39" s="86">
        <v>0</v>
      </c>
      <c r="D39" s="83" t="str">
        <f t="shared" si="2"/>
        <v>   </v>
      </c>
      <c r="E39" s="84">
        <f t="shared" si="3"/>
        <v>0</v>
      </c>
    </row>
    <row r="40" spans="1:5" s="76" customFormat="1" ht="25.5" customHeight="1">
      <c r="A40" s="47" t="s">
        <v>217</v>
      </c>
      <c r="B40" s="31">
        <v>0</v>
      </c>
      <c r="C40" s="86">
        <v>0</v>
      </c>
      <c r="D40" s="83" t="str">
        <f t="shared" si="2"/>
        <v>   </v>
      </c>
      <c r="E40" s="84">
        <f t="shared" si="3"/>
        <v>0</v>
      </c>
    </row>
    <row r="41" spans="1:5" s="76" customFormat="1" ht="25.5" customHeight="1">
      <c r="A41" s="159" t="s">
        <v>149</v>
      </c>
      <c r="B41" s="160">
        <v>3300</v>
      </c>
      <c r="C41" s="160">
        <v>0</v>
      </c>
      <c r="D41" s="161">
        <f t="shared" si="2"/>
        <v>0</v>
      </c>
      <c r="E41" s="162">
        <f t="shared" si="3"/>
        <v>-3300</v>
      </c>
    </row>
    <row r="42" spans="1:5" s="76" customFormat="1" ht="25.5" customHeight="1">
      <c r="A42" s="159" t="s">
        <v>259</v>
      </c>
      <c r="B42" s="160">
        <v>0</v>
      </c>
      <c r="C42" s="160">
        <v>0</v>
      </c>
      <c r="D42" s="161"/>
      <c r="E42" s="162"/>
    </row>
    <row r="43" spans="1:5" s="76" customFormat="1" ht="18" customHeight="1">
      <c r="A43" s="47" t="s">
        <v>71</v>
      </c>
      <c r="B43" s="207">
        <v>110700</v>
      </c>
      <c r="C43" s="207">
        <f>SUM(C44:C45)</f>
        <v>0</v>
      </c>
      <c r="D43" s="83">
        <f t="shared" si="2"/>
        <v>0</v>
      </c>
      <c r="E43" s="84">
        <f t="shared" si="3"/>
        <v>-110700</v>
      </c>
    </row>
    <row r="44" spans="1:5" s="76" customFormat="1" ht="24.75" customHeight="1">
      <c r="A44" s="47" t="s">
        <v>249</v>
      </c>
      <c r="B44" s="31">
        <v>0</v>
      </c>
      <c r="C44" s="235">
        <v>0</v>
      </c>
      <c r="D44" s="83" t="str">
        <f t="shared" si="2"/>
        <v>   </v>
      </c>
      <c r="E44" s="84">
        <f t="shared" si="3"/>
        <v>0</v>
      </c>
    </row>
    <row r="45" spans="1:5" s="76" customFormat="1" ht="14.25" customHeight="1">
      <c r="A45" s="63" t="s">
        <v>180</v>
      </c>
      <c r="B45" s="31">
        <v>110700</v>
      </c>
      <c r="C45" s="31">
        <v>0</v>
      </c>
      <c r="D45" s="83">
        <f t="shared" si="2"/>
        <v>0</v>
      </c>
      <c r="E45" s="84">
        <f t="shared" si="3"/>
        <v>-110700</v>
      </c>
    </row>
    <row r="46" spans="1:5" s="76" customFormat="1" ht="15.75" customHeight="1">
      <c r="A46" s="47" t="s">
        <v>47</v>
      </c>
      <c r="B46" s="31">
        <v>0</v>
      </c>
      <c r="C46" s="86">
        <v>0</v>
      </c>
      <c r="D46" s="83" t="str">
        <f t="shared" si="2"/>
        <v>   </v>
      </c>
      <c r="E46" s="84">
        <f t="shared" si="3"/>
        <v>0</v>
      </c>
    </row>
    <row r="47" spans="1:5" s="76" customFormat="1" ht="12.75" customHeight="1" hidden="1">
      <c r="A47" s="47" t="s">
        <v>29</v>
      </c>
      <c r="B47" s="31">
        <v>55000</v>
      </c>
      <c r="C47" s="86">
        <v>26448</v>
      </c>
      <c r="D47" s="83"/>
      <c r="E47" s="84"/>
    </row>
    <row r="48" spans="1:5" s="76" customFormat="1" ht="12.75" customHeight="1" hidden="1">
      <c r="A48" s="47" t="s">
        <v>31</v>
      </c>
      <c r="B48" s="31"/>
      <c r="C48" s="86">
        <v>5250</v>
      </c>
      <c r="D48" s="83"/>
      <c r="E48" s="84"/>
    </row>
    <row r="49" spans="1:5" s="76" customFormat="1" ht="12.75" customHeight="1" hidden="1">
      <c r="A49" s="47" t="s">
        <v>21</v>
      </c>
      <c r="B49" s="31">
        <v>29625</v>
      </c>
      <c r="C49" s="31">
        <v>0</v>
      </c>
      <c r="D49" s="83" t="e">
        <f>IF(#REF!=0,"   ",C49/#REF!)</f>
        <v>#REF!</v>
      </c>
      <c r="E49" s="84" t="e">
        <f>C49-#REF!</f>
        <v>#REF!</v>
      </c>
    </row>
    <row r="50" spans="1:5" s="76" customFormat="1" ht="12.75" customHeight="1" hidden="1">
      <c r="A50" s="47" t="s">
        <v>22</v>
      </c>
      <c r="B50" s="31">
        <v>244300</v>
      </c>
      <c r="C50" s="31">
        <v>367600</v>
      </c>
      <c r="D50" s="83" t="e">
        <f>IF(#REF!=0,"   ",C50/#REF!)</f>
        <v>#REF!</v>
      </c>
      <c r="E50" s="84" t="e">
        <f>C50-#REF!</f>
        <v>#REF!</v>
      </c>
    </row>
    <row r="51" spans="1:5" s="76" customFormat="1" ht="12.75" customHeight="1" hidden="1">
      <c r="A51" s="47" t="s">
        <v>30</v>
      </c>
      <c r="B51" s="31"/>
      <c r="C51" s="86">
        <v>2506</v>
      </c>
      <c r="D51" s="83" t="e">
        <f>IF(#REF!=0,"   ",C51/#REF!)</f>
        <v>#REF!</v>
      </c>
      <c r="E51" s="84" t="e">
        <f>C51-#REF!</f>
        <v>#REF!</v>
      </c>
    </row>
    <row r="52" spans="1:5" s="9" customFormat="1" ht="12.75" customHeight="1" hidden="1">
      <c r="A52" s="77" t="s">
        <v>11</v>
      </c>
      <c r="B52" s="50">
        <f>SUM(B6,B29)</f>
        <v>1666625</v>
      </c>
      <c r="C52" s="82" t="e">
        <f>SUM(C6,C29)</f>
        <v>#REF!</v>
      </c>
      <c r="D52" s="79" t="e">
        <f>IF(#REF!=0,"   ",C52/#REF!)</f>
        <v>#REF!</v>
      </c>
      <c r="E52" s="89" t="e">
        <f>C52-#REF!</f>
        <v>#REF!</v>
      </c>
    </row>
    <row r="53" spans="1:5" s="76" customFormat="1" ht="12.75" customHeight="1" hidden="1">
      <c r="A53" s="47" t="s">
        <v>26</v>
      </c>
      <c r="B53" s="31">
        <v>32964487</v>
      </c>
      <c r="C53" s="86">
        <v>30880729</v>
      </c>
      <c r="D53" s="83" t="e">
        <f>IF(#REF!=0,"   ",C53/#REF!)</f>
        <v>#REF!</v>
      </c>
      <c r="E53" s="84" t="e">
        <f>C53-#REF!</f>
        <v>#REF!</v>
      </c>
    </row>
    <row r="54" spans="1:5" s="76" customFormat="1" ht="12.75" customHeight="1" hidden="1">
      <c r="A54" s="47" t="s">
        <v>27</v>
      </c>
      <c r="B54" s="31">
        <v>42809000</v>
      </c>
      <c r="C54" s="86">
        <v>42809000</v>
      </c>
      <c r="D54" s="83" t="e">
        <f>IF(#REF!=0,"   ",C54/#REF!)</f>
        <v>#REF!</v>
      </c>
      <c r="E54" s="84" t="e">
        <f>C54-#REF!</f>
        <v>#REF!</v>
      </c>
    </row>
    <row r="55" spans="1:5" s="76" customFormat="1" ht="12.75" customHeight="1" hidden="1">
      <c r="A55" s="47" t="s">
        <v>36</v>
      </c>
      <c r="B55" s="31">
        <v>1300000</v>
      </c>
      <c r="C55" s="88">
        <v>1300000</v>
      </c>
      <c r="D55" s="83" t="e">
        <f>IF(#REF!=0,"   ",C55/#REF!)</f>
        <v>#REF!</v>
      </c>
      <c r="E55" s="84" t="e">
        <f>C55-#REF!</f>
        <v>#REF!</v>
      </c>
    </row>
    <row r="56" spans="1:5" s="76" customFormat="1" ht="12.75" customHeight="1" hidden="1">
      <c r="A56" s="47" t="s">
        <v>11</v>
      </c>
      <c r="B56" s="31"/>
      <c r="C56" s="88"/>
      <c r="D56" s="83" t="e">
        <f>IF(#REF!=0,"   ",C56/#REF!)</f>
        <v>#REF!</v>
      </c>
      <c r="E56" s="84" t="e">
        <f>C56-#REF!</f>
        <v>#REF!</v>
      </c>
    </row>
    <row r="57" spans="1:5" s="76" customFormat="1" ht="12.75" customHeight="1" hidden="1">
      <c r="A57" s="77" t="s">
        <v>12</v>
      </c>
      <c r="B57" s="31">
        <v>0</v>
      </c>
      <c r="C57" s="31">
        <v>0</v>
      </c>
      <c r="D57" s="83" t="e">
        <f>IF(#REF!=0,"   ",C57/#REF!)</f>
        <v>#REF!</v>
      </c>
      <c r="E57" s="84" t="e">
        <f>C57-#REF!</f>
        <v>#REF!</v>
      </c>
    </row>
    <row r="58" spans="1:5" s="76" customFormat="1" ht="12.75" customHeight="1" hidden="1">
      <c r="A58" s="47" t="s">
        <v>13</v>
      </c>
      <c r="B58" s="31">
        <v>0</v>
      </c>
      <c r="C58" s="86">
        <v>0</v>
      </c>
      <c r="D58" s="83" t="e">
        <f>IF(#REF!=0,"   ",C58/#REF!)</f>
        <v>#REF!</v>
      </c>
      <c r="E58" s="84" t="e">
        <f>C58-#REF!</f>
        <v>#REF!</v>
      </c>
    </row>
    <row r="59" spans="1:5" s="76" customFormat="1" ht="36" customHeight="1" hidden="1">
      <c r="A59" s="47" t="s">
        <v>23</v>
      </c>
      <c r="B59" s="31">
        <v>3477561</v>
      </c>
      <c r="C59" s="86">
        <v>2736977</v>
      </c>
      <c r="D59" s="83" t="e">
        <f>IF(#REF!=0,"   ",C59/#REF!)</f>
        <v>#REF!</v>
      </c>
      <c r="E59" s="84" t="e">
        <f>C59-#REF!</f>
        <v>#REF!</v>
      </c>
    </row>
    <row r="60" spans="1:5" s="76" customFormat="1" ht="12.75" customHeight="1" hidden="1">
      <c r="A60" s="47" t="s">
        <v>28</v>
      </c>
      <c r="B60" s="31"/>
      <c r="C60" s="86">
        <v>268613</v>
      </c>
      <c r="D60" s="83" t="e">
        <f>IF(#REF!=0,"   ",C60/#REF!)</f>
        <v>#REF!</v>
      </c>
      <c r="E60" s="84" t="e">
        <f>C60-#REF!</f>
        <v>#REF!</v>
      </c>
    </row>
    <row r="61" spans="1:5" s="76" customFormat="1" ht="21.75" customHeight="1">
      <c r="A61" s="137" t="s">
        <v>14</v>
      </c>
      <c r="B61" s="138">
        <f>SUM(B34,B35,B36:B43,B46)</f>
        <v>2716400</v>
      </c>
      <c r="C61" s="138">
        <f>SUM(C34,C35,C36:C43,C46)</f>
        <v>399348.65</v>
      </c>
      <c r="D61" s="139">
        <f aca="true" t="shared" si="4" ref="D61:D76">IF(B61=0,"   ",C61/B61*100)</f>
        <v>14.701393388308057</v>
      </c>
      <c r="E61" s="140">
        <f aca="true" t="shared" si="5" ref="E61:E76">C61-B61</f>
        <v>-2317051.35</v>
      </c>
    </row>
    <row r="62" spans="1:5" s="8" customFormat="1" ht="13.5" thickBot="1">
      <c r="A62" s="155" t="s">
        <v>15</v>
      </c>
      <c r="B62" s="156"/>
      <c r="C62" s="157"/>
      <c r="D62" s="131" t="str">
        <f t="shared" si="4"/>
        <v>   </v>
      </c>
      <c r="E62" s="132">
        <f t="shared" si="5"/>
        <v>0</v>
      </c>
    </row>
    <row r="63" spans="1:5" s="76" customFormat="1" ht="13.5" thickBot="1">
      <c r="A63" s="147" t="s">
        <v>48</v>
      </c>
      <c r="B63" s="148">
        <v>755700</v>
      </c>
      <c r="C63" s="148">
        <v>59631.94</v>
      </c>
      <c r="D63" s="135">
        <f t="shared" si="4"/>
        <v>7.890954082307794</v>
      </c>
      <c r="E63" s="136">
        <f t="shared" si="5"/>
        <v>-696068.06</v>
      </c>
    </row>
    <row r="64" spans="1:5" s="76" customFormat="1" ht="13.5" thickBot="1">
      <c r="A64" s="145" t="s">
        <v>49</v>
      </c>
      <c r="B64" s="146">
        <v>755200</v>
      </c>
      <c r="C64" s="148">
        <v>59631.94</v>
      </c>
      <c r="D64" s="106">
        <f t="shared" si="4"/>
        <v>7.896178495762713</v>
      </c>
      <c r="E64" s="107">
        <f t="shared" si="5"/>
        <v>-695568.06</v>
      </c>
    </row>
    <row r="65" spans="1:5" s="76" customFormat="1" ht="12.75">
      <c r="A65" s="47" t="s">
        <v>207</v>
      </c>
      <c r="B65" s="31">
        <v>476900</v>
      </c>
      <c r="C65" s="88">
        <v>49360.5</v>
      </c>
      <c r="D65" s="83">
        <f t="shared" si="4"/>
        <v>10.350283078213462</v>
      </c>
      <c r="E65" s="84">
        <f t="shared" si="5"/>
        <v>-427539.5</v>
      </c>
    </row>
    <row r="66" spans="1:5" s="90" customFormat="1" ht="12.75">
      <c r="A66" s="47" t="s">
        <v>181</v>
      </c>
      <c r="B66" s="31">
        <v>100</v>
      </c>
      <c r="C66" s="88">
        <v>0</v>
      </c>
      <c r="D66" s="83">
        <f t="shared" si="4"/>
        <v>0</v>
      </c>
      <c r="E66" s="84">
        <f t="shared" si="5"/>
        <v>-100</v>
      </c>
    </row>
    <row r="67" spans="1:5" s="76" customFormat="1" ht="12.75">
      <c r="A67" s="47" t="s">
        <v>141</v>
      </c>
      <c r="B67" s="31">
        <v>500</v>
      </c>
      <c r="C67" s="88">
        <v>0</v>
      </c>
      <c r="D67" s="83">
        <f t="shared" si="4"/>
        <v>0</v>
      </c>
      <c r="E67" s="84">
        <f t="shared" si="5"/>
        <v>-500</v>
      </c>
    </row>
    <row r="68" spans="1:5" s="76" customFormat="1" ht="12.75">
      <c r="A68" s="47" t="s">
        <v>69</v>
      </c>
      <c r="B68" s="207">
        <f>SUM(B69)</f>
        <v>0</v>
      </c>
      <c r="C68" s="207">
        <v>0</v>
      </c>
      <c r="D68" s="83" t="str">
        <f t="shared" si="4"/>
        <v>   </v>
      </c>
      <c r="E68" s="84">
        <f t="shared" si="5"/>
        <v>0</v>
      </c>
    </row>
    <row r="69" spans="1:5" s="76" customFormat="1" ht="25.5" customHeight="1" thickBot="1">
      <c r="A69" s="154" t="s">
        <v>85</v>
      </c>
      <c r="B69" s="129">
        <v>0</v>
      </c>
      <c r="C69" s="93">
        <v>0</v>
      </c>
      <c r="D69" s="131" t="str">
        <f t="shared" si="4"/>
        <v>   </v>
      </c>
      <c r="E69" s="132">
        <f t="shared" si="5"/>
        <v>0</v>
      </c>
    </row>
    <row r="70" spans="1:5" s="76" customFormat="1" ht="13.5" thickBot="1">
      <c r="A70" s="147" t="s">
        <v>65</v>
      </c>
      <c r="B70" s="208">
        <f>SUM(B71)</f>
        <v>50300</v>
      </c>
      <c r="C70" s="208">
        <f>SUM(C71)</f>
        <v>1850.32</v>
      </c>
      <c r="D70" s="135">
        <f t="shared" si="4"/>
        <v>3.6785685884691848</v>
      </c>
      <c r="E70" s="136">
        <f t="shared" si="5"/>
        <v>-48449.68</v>
      </c>
    </row>
    <row r="71" spans="1:5" s="76" customFormat="1" ht="26.25" thickBot="1">
      <c r="A71" s="103" t="s">
        <v>176</v>
      </c>
      <c r="B71" s="149">
        <v>50300</v>
      </c>
      <c r="C71" s="105">
        <v>1850.32</v>
      </c>
      <c r="D71" s="151">
        <f t="shared" si="4"/>
        <v>3.6785685884691848</v>
      </c>
      <c r="E71" s="152">
        <f t="shared" si="5"/>
        <v>-48449.68</v>
      </c>
    </row>
    <row r="72" spans="1:5" s="76" customFormat="1" ht="13.5" thickBot="1">
      <c r="A72" s="147" t="s">
        <v>50</v>
      </c>
      <c r="B72" s="208">
        <f>SUM(B73)</f>
        <v>600</v>
      </c>
      <c r="C72" s="208">
        <f>SUM(C73)</f>
        <v>0</v>
      </c>
      <c r="D72" s="135">
        <f t="shared" si="4"/>
        <v>0</v>
      </c>
      <c r="E72" s="136">
        <f t="shared" si="5"/>
        <v>-600</v>
      </c>
    </row>
    <row r="73" spans="1:5" s="76" customFormat="1" ht="13.5" thickBot="1">
      <c r="A73" s="103" t="s">
        <v>246</v>
      </c>
      <c r="B73" s="149">
        <v>600</v>
      </c>
      <c r="C73" s="105">
        <v>0</v>
      </c>
      <c r="D73" s="151">
        <f t="shared" si="4"/>
        <v>0</v>
      </c>
      <c r="E73" s="152">
        <f t="shared" si="5"/>
        <v>-600</v>
      </c>
    </row>
    <row r="74" spans="1:5" s="76" customFormat="1" ht="13.5" thickBot="1">
      <c r="A74" s="147" t="s">
        <v>51</v>
      </c>
      <c r="B74" s="208">
        <f>B76+B77</f>
        <v>190700</v>
      </c>
      <c r="C74" s="208">
        <f>C76+C77</f>
        <v>0</v>
      </c>
      <c r="D74" s="135">
        <f t="shared" si="4"/>
        <v>0</v>
      </c>
      <c r="E74" s="136">
        <f t="shared" si="5"/>
        <v>-190700</v>
      </c>
    </row>
    <row r="75" spans="1:5" s="76" customFormat="1" ht="12.75">
      <c r="A75" s="145" t="s">
        <v>287</v>
      </c>
      <c r="B75" s="146">
        <v>0</v>
      </c>
      <c r="C75" s="146">
        <v>0</v>
      </c>
      <c r="D75" s="106" t="str">
        <f t="shared" si="4"/>
        <v>   </v>
      </c>
      <c r="E75" s="107">
        <f t="shared" si="5"/>
        <v>0</v>
      </c>
    </row>
    <row r="76" spans="1:5" s="76" customFormat="1" ht="25.5">
      <c r="A76" s="91" t="s">
        <v>288</v>
      </c>
      <c r="B76" s="129">
        <v>110700</v>
      </c>
      <c r="C76" s="129">
        <v>0</v>
      </c>
      <c r="D76" s="131">
        <f t="shared" si="4"/>
        <v>0</v>
      </c>
      <c r="E76" s="132">
        <f t="shared" si="5"/>
        <v>-110700</v>
      </c>
    </row>
    <row r="77" spans="1:5" s="76" customFormat="1" ht="26.25" thickBot="1">
      <c r="A77" s="91" t="s">
        <v>289</v>
      </c>
      <c r="B77" s="149">
        <v>80000</v>
      </c>
      <c r="C77" s="149">
        <v>0</v>
      </c>
      <c r="D77" s="151"/>
      <c r="E77" s="152"/>
    </row>
    <row r="78" spans="1:5" s="76" customFormat="1" ht="13.5" thickBot="1">
      <c r="A78" s="147" t="s">
        <v>16</v>
      </c>
      <c r="B78" s="208">
        <f>B81+B83+B87</f>
        <v>151000</v>
      </c>
      <c r="C78" s="208">
        <f>SUM(C83,C87,)</f>
        <v>20000</v>
      </c>
      <c r="D78" s="135">
        <f>IF(B78=0,"   ",C78/B78*100)</f>
        <v>13.245033112582782</v>
      </c>
      <c r="E78" s="136">
        <f>C78-B78</f>
        <v>-131000</v>
      </c>
    </row>
    <row r="79" spans="1:5" s="76" customFormat="1" ht="12.75" customHeight="1" hidden="1">
      <c r="A79" s="145" t="s">
        <v>53</v>
      </c>
      <c r="B79" s="146" t="e">
        <f>SUM(#REF!,B87,#REF!)</f>
        <v>#REF!</v>
      </c>
      <c r="C79" s="146" t="e">
        <f>SUM(#REF!,C87,#REF!)</f>
        <v>#REF!</v>
      </c>
      <c r="D79" s="106" t="e">
        <f>IF(#REF!=0,"   ",C79/#REF!)</f>
        <v>#REF!</v>
      </c>
      <c r="E79" s="107" t="e">
        <f>C79-#REF!</f>
        <v>#REF!</v>
      </c>
    </row>
    <row r="80" spans="1:5" s="76" customFormat="1" ht="12.75" customHeight="1" hidden="1">
      <c r="A80" s="47" t="s">
        <v>25</v>
      </c>
      <c r="B80" s="31">
        <v>851563</v>
      </c>
      <c r="C80" s="86">
        <v>851563</v>
      </c>
      <c r="D80" s="83" t="e">
        <f>IF(#REF!=0,"   ",C80/#REF!)</f>
        <v>#REF!</v>
      </c>
      <c r="E80" s="84" t="e">
        <f>C80-#REF!</f>
        <v>#REF!</v>
      </c>
    </row>
    <row r="81" spans="1:5" s="76" customFormat="1" ht="12.75">
      <c r="A81" s="47" t="s">
        <v>17</v>
      </c>
      <c r="B81" s="31">
        <v>0</v>
      </c>
      <c r="C81" s="31">
        <f>SUM(C83:C84)</f>
        <v>0</v>
      </c>
      <c r="D81" s="83" t="str">
        <f>IF(B81=0,"   ",C81/B81*100)</f>
        <v>   </v>
      </c>
      <c r="E81" s="84">
        <f>C81-B81</f>
        <v>0</v>
      </c>
    </row>
    <row r="82" spans="1:5" s="76" customFormat="1" ht="12.75">
      <c r="A82" s="47" t="s">
        <v>144</v>
      </c>
      <c r="B82" s="31">
        <v>0</v>
      </c>
      <c r="C82" s="86">
        <v>0</v>
      </c>
      <c r="D82" s="83" t="str">
        <f>IF(B82=0,"   ",C82/B82*100)</f>
        <v>   </v>
      </c>
      <c r="E82" s="84">
        <f>C82-B82</f>
        <v>0</v>
      </c>
    </row>
    <row r="83" spans="1:5" s="76" customFormat="1" ht="12.75">
      <c r="A83" s="47" t="s">
        <v>130</v>
      </c>
      <c r="B83" s="31">
        <v>0</v>
      </c>
      <c r="C83" s="31">
        <f>SUM(C84:C85)</f>
        <v>0</v>
      </c>
      <c r="D83" s="83" t="str">
        <f aca="true" t="shared" si="6" ref="D83:D119">IF(B83=0,"   ",C83/B83*100)</f>
        <v>   </v>
      </c>
      <c r="E83" s="84">
        <f aca="true" t="shared" si="7" ref="E83:E119">C83-B83</f>
        <v>0</v>
      </c>
    </row>
    <row r="84" spans="1:5" s="76" customFormat="1" ht="12.75">
      <c r="A84" s="47" t="s">
        <v>161</v>
      </c>
      <c r="B84" s="31">
        <v>0</v>
      </c>
      <c r="C84" s="86">
        <v>0</v>
      </c>
      <c r="D84" s="83" t="str">
        <f t="shared" si="6"/>
        <v>   </v>
      </c>
      <c r="E84" s="84">
        <f t="shared" si="7"/>
        <v>0</v>
      </c>
    </row>
    <row r="85" spans="1:5" s="76" customFormat="1" ht="12.75">
      <c r="A85" s="47" t="s">
        <v>162</v>
      </c>
      <c r="B85" s="31">
        <v>0</v>
      </c>
      <c r="C85" s="86">
        <v>0</v>
      </c>
      <c r="D85" s="83" t="str">
        <f t="shared" si="6"/>
        <v>   </v>
      </c>
      <c r="E85" s="84">
        <f t="shared" si="7"/>
        <v>0</v>
      </c>
    </row>
    <row r="86" spans="1:5" s="76" customFormat="1" ht="12.75">
      <c r="A86" s="47" t="s">
        <v>175</v>
      </c>
      <c r="B86" s="31">
        <v>0</v>
      </c>
      <c r="C86" s="86">
        <v>0</v>
      </c>
      <c r="D86" s="83" t="str">
        <f t="shared" si="6"/>
        <v>   </v>
      </c>
      <c r="E86" s="84">
        <f t="shared" si="7"/>
        <v>0</v>
      </c>
    </row>
    <row r="87" spans="1:5" s="76" customFormat="1" ht="12.75">
      <c r="A87" s="47" t="s">
        <v>79</v>
      </c>
      <c r="B87" s="31">
        <v>151000</v>
      </c>
      <c r="C87" s="31">
        <v>20000</v>
      </c>
      <c r="D87" s="83">
        <f t="shared" si="6"/>
        <v>13.245033112582782</v>
      </c>
      <c r="E87" s="84">
        <f t="shared" si="7"/>
        <v>-131000</v>
      </c>
    </row>
    <row r="88" spans="1:5" s="76" customFormat="1" ht="15" customHeight="1">
      <c r="A88" s="47" t="s">
        <v>77</v>
      </c>
      <c r="B88" s="31">
        <v>151000</v>
      </c>
      <c r="C88" s="86">
        <v>20000</v>
      </c>
      <c r="D88" s="83">
        <f t="shared" si="6"/>
        <v>13.245033112582782</v>
      </c>
      <c r="E88" s="84">
        <f t="shared" si="7"/>
        <v>-131000</v>
      </c>
    </row>
    <row r="89" spans="1:5" s="76" customFormat="1" ht="17.25" customHeight="1" thickBot="1">
      <c r="A89" s="91" t="s">
        <v>78</v>
      </c>
      <c r="B89" s="129">
        <v>0</v>
      </c>
      <c r="C89" s="144">
        <v>0</v>
      </c>
      <c r="D89" s="131" t="str">
        <f t="shared" si="6"/>
        <v>   </v>
      </c>
      <c r="E89" s="132">
        <f t="shared" si="7"/>
        <v>0</v>
      </c>
    </row>
    <row r="90" spans="1:5" s="76" customFormat="1" ht="15" customHeight="1" thickBot="1">
      <c r="A90" s="147" t="s">
        <v>24</v>
      </c>
      <c r="B90" s="148">
        <v>6000</v>
      </c>
      <c r="C90" s="148">
        <v>0</v>
      </c>
      <c r="D90" s="135">
        <f t="shared" si="6"/>
        <v>0</v>
      </c>
      <c r="E90" s="136">
        <f t="shared" si="7"/>
        <v>-6000</v>
      </c>
    </row>
    <row r="91" spans="1:5" s="76" customFormat="1" ht="13.5" thickBot="1">
      <c r="A91" s="147" t="s">
        <v>54</v>
      </c>
      <c r="B91" s="209">
        <f>SUM(B92)</f>
        <v>1471600</v>
      </c>
      <c r="C91" s="208">
        <f>SUM(C92)</f>
        <v>290206.2</v>
      </c>
      <c r="D91" s="135">
        <f t="shared" si="6"/>
        <v>19.720453927697747</v>
      </c>
      <c r="E91" s="136">
        <f t="shared" si="7"/>
        <v>-1181393.8</v>
      </c>
    </row>
    <row r="92" spans="1:5" s="76" customFormat="1" ht="12.75">
      <c r="A92" s="145" t="s">
        <v>55</v>
      </c>
      <c r="B92" s="146">
        <v>1471600</v>
      </c>
      <c r="C92" s="153">
        <v>290206.2</v>
      </c>
      <c r="D92" s="106">
        <f t="shared" si="6"/>
        <v>19.720453927697747</v>
      </c>
      <c r="E92" s="107">
        <f t="shared" si="7"/>
        <v>-1181393.8</v>
      </c>
    </row>
    <row r="93" spans="1:5" s="76" customFormat="1" ht="12.75">
      <c r="A93" s="47" t="s">
        <v>207</v>
      </c>
      <c r="B93" s="31"/>
      <c r="C93" s="86"/>
      <c r="D93" s="83" t="str">
        <f t="shared" si="6"/>
        <v>   </v>
      </c>
      <c r="E93" s="84">
        <f t="shared" si="7"/>
        <v>0</v>
      </c>
    </row>
    <row r="94" spans="1:5" s="76" customFormat="1" ht="12.75">
      <c r="A94" s="47" t="s">
        <v>177</v>
      </c>
      <c r="B94" s="31">
        <v>3300</v>
      </c>
      <c r="C94" s="86">
        <v>0</v>
      </c>
      <c r="D94" s="83">
        <f t="shared" si="6"/>
        <v>0</v>
      </c>
      <c r="E94" s="84">
        <f t="shared" si="7"/>
        <v>-3300</v>
      </c>
    </row>
    <row r="95" spans="1:5" s="76" customFormat="1" ht="13.5" thickBot="1">
      <c r="A95" s="91" t="s">
        <v>248</v>
      </c>
      <c r="B95" s="129">
        <v>0</v>
      </c>
      <c r="C95" s="93">
        <v>0</v>
      </c>
      <c r="D95" s="131" t="str">
        <f t="shared" si="6"/>
        <v>   </v>
      </c>
      <c r="E95" s="132">
        <f t="shared" si="7"/>
        <v>0</v>
      </c>
    </row>
    <row r="96" spans="1:5" s="76" customFormat="1" ht="13.5" thickBot="1">
      <c r="A96" s="147" t="s">
        <v>215</v>
      </c>
      <c r="B96" s="209">
        <f>SUM(B97)</f>
        <v>20000</v>
      </c>
      <c r="C96" s="209">
        <f>C97</f>
        <v>0</v>
      </c>
      <c r="D96" s="135">
        <f t="shared" si="6"/>
        <v>0</v>
      </c>
      <c r="E96" s="136">
        <f t="shared" si="7"/>
        <v>-20000</v>
      </c>
    </row>
    <row r="97" spans="1:5" s="76" customFormat="1" ht="13.5" thickBot="1">
      <c r="A97" s="103" t="s">
        <v>56</v>
      </c>
      <c r="B97" s="149">
        <v>20000</v>
      </c>
      <c r="C97" s="150">
        <v>0</v>
      </c>
      <c r="D97" s="151">
        <f t="shared" si="6"/>
        <v>0</v>
      </c>
      <c r="E97" s="152">
        <f t="shared" si="7"/>
        <v>-20000</v>
      </c>
    </row>
    <row r="98" spans="1:5" s="76" customFormat="1" ht="13.5" thickBot="1">
      <c r="A98" s="234" t="s">
        <v>18</v>
      </c>
      <c r="B98" s="208">
        <f>B99</f>
        <v>101300</v>
      </c>
      <c r="C98" s="208">
        <f>SUM(C99)</f>
        <v>0</v>
      </c>
      <c r="D98" s="135">
        <f t="shared" si="6"/>
        <v>0</v>
      </c>
      <c r="E98" s="136">
        <f t="shared" si="7"/>
        <v>-101300</v>
      </c>
    </row>
    <row r="99" spans="1:5" s="76" customFormat="1" ht="12.75">
      <c r="A99" s="145" t="s">
        <v>224</v>
      </c>
      <c r="B99" s="210">
        <f>SUM(B116,B109,B100)</f>
        <v>101300</v>
      </c>
      <c r="C99" s="210">
        <f>SUM(C116,C109,C100)</f>
        <v>0</v>
      </c>
      <c r="D99" s="106">
        <f t="shared" si="6"/>
        <v>0</v>
      </c>
      <c r="E99" s="107">
        <f t="shared" si="7"/>
        <v>-101300</v>
      </c>
    </row>
    <row r="100" spans="1:5" s="76" customFormat="1" ht="12.75">
      <c r="A100" s="158" t="s">
        <v>254</v>
      </c>
      <c r="B100" s="198">
        <f>SUM(B101,B105)</f>
        <v>101300</v>
      </c>
      <c r="C100" s="198">
        <f>SUM(C101,C105)</f>
        <v>0</v>
      </c>
      <c r="D100" s="83">
        <f t="shared" si="6"/>
        <v>0</v>
      </c>
      <c r="E100" s="84">
        <f t="shared" si="7"/>
        <v>-101300</v>
      </c>
    </row>
    <row r="101" spans="1:5" s="76" customFormat="1" ht="24.75" customHeight="1">
      <c r="A101" s="47" t="s">
        <v>225</v>
      </c>
      <c r="B101" s="207">
        <f>SUM(B102:B104)</f>
        <v>101300</v>
      </c>
      <c r="C101" s="207">
        <f>SUM(C102:C104)</f>
        <v>0</v>
      </c>
      <c r="D101" s="83">
        <f t="shared" si="6"/>
        <v>0</v>
      </c>
      <c r="E101" s="84">
        <f t="shared" si="7"/>
        <v>-101300</v>
      </c>
    </row>
    <row r="102" spans="1:5" s="76" customFormat="1" ht="15.75" customHeight="1">
      <c r="A102" s="47" t="s">
        <v>234</v>
      </c>
      <c r="B102" s="31">
        <v>0</v>
      </c>
      <c r="C102" s="86"/>
      <c r="D102" s="83" t="str">
        <f t="shared" si="6"/>
        <v>   </v>
      </c>
      <c r="E102" s="84">
        <f t="shared" si="7"/>
        <v>0</v>
      </c>
    </row>
    <row r="103" spans="1:5" s="76" customFormat="1" ht="13.5" customHeight="1">
      <c r="A103" s="47" t="s">
        <v>235</v>
      </c>
      <c r="B103" s="31"/>
      <c r="C103" s="86"/>
      <c r="D103" s="83" t="str">
        <f t="shared" si="6"/>
        <v>   </v>
      </c>
      <c r="E103" s="84">
        <f t="shared" si="7"/>
        <v>0</v>
      </c>
    </row>
    <row r="104" spans="1:5" s="76" customFormat="1" ht="15" customHeight="1">
      <c r="A104" s="47" t="s">
        <v>236</v>
      </c>
      <c r="B104" s="31">
        <v>101300</v>
      </c>
      <c r="C104" s="86">
        <v>0</v>
      </c>
      <c r="D104" s="83">
        <f t="shared" si="6"/>
        <v>0</v>
      </c>
      <c r="E104" s="84">
        <f t="shared" si="7"/>
        <v>-101300</v>
      </c>
    </row>
    <row r="105" spans="1:5" s="76" customFormat="1" ht="24.75" customHeight="1">
      <c r="A105" s="47" t="s">
        <v>226</v>
      </c>
      <c r="B105" s="207">
        <f>SUM(B106:B108)</f>
        <v>0</v>
      </c>
      <c r="C105" s="207">
        <f>SUM(C106:C108)</f>
        <v>0</v>
      </c>
      <c r="D105" s="83" t="str">
        <f t="shared" si="6"/>
        <v>   </v>
      </c>
      <c r="E105" s="84">
        <f t="shared" si="7"/>
        <v>0</v>
      </c>
    </row>
    <row r="106" spans="1:5" s="76" customFormat="1" ht="15" customHeight="1">
      <c r="A106" s="47" t="s">
        <v>234</v>
      </c>
      <c r="B106" s="31">
        <v>0</v>
      </c>
      <c r="C106" s="86">
        <v>0</v>
      </c>
      <c r="D106" s="83" t="str">
        <f t="shared" si="6"/>
        <v>   </v>
      </c>
      <c r="E106" s="84">
        <f t="shared" si="7"/>
        <v>0</v>
      </c>
    </row>
    <row r="107" spans="1:5" s="76" customFormat="1" ht="12" customHeight="1">
      <c r="A107" s="47" t="s">
        <v>235</v>
      </c>
      <c r="B107" s="31">
        <v>0</v>
      </c>
      <c r="C107" s="86"/>
      <c r="D107" s="83" t="str">
        <f t="shared" si="6"/>
        <v>   </v>
      </c>
      <c r="E107" s="84">
        <f t="shared" si="7"/>
        <v>0</v>
      </c>
    </row>
    <row r="108" spans="1:5" s="76" customFormat="1" ht="14.25" customHeight="1">
      <c r="A108" s="47" t="s">
        <v>236</v>
      </c>
      <c r="B108" s="31"/>
      <c r="C108" s="86"/>
      <c r="D108" s="83" t="str">
        <f t="shared" si="6"/>
        <v>   </v>
      </c>
      <c r="E108" s="84">
        <f t="shared" si="7"/>
        <v>0</v>
      </c>
    </row>
    <row r="109" spans="1:5" s="76" customFormat="1" ht="14.25" customHeight="1">
      <c r="A109" s="158" t="s">
        <v>255</v>
      </c>
      <c r="B109" s="198">
        <f>SUM(B110,B113)</f>
        <v>0</v>
      </c>
      <c r="C109" s="198">
        <f>SUM(C110:C113)</f>
        <v>0</v>
      </c>
      <c r="D109" s="83" t="str">
        <f t="shared" si="6"/>
        <v>   </v>
      </c>
      <c r="E109" s="84">
        <f t="shared" si="7"/>
        <v>0</v>
      </c>
    </row>
    <row r="110" spans="1:5" s="76" customFormat="1" ht="26.25" customHeight="1">
      <c r="A110" s="118" t="s">
        <v>227</v>
      </c>
      <c r="B110" s="211">
        <f>SUM(B111:B112)</f>
        <v>0</v>
      </c>
      <c r="C110" s="211">
        <f>SUM(C111:C112)</f>
        <v>0</v>
      </c>
      <c r="D110" s="83" t="str">
        <f t="shared" si="6"/>
        <v>   </v>
      </c>
      <c r="E110" s="84">
        <f t="shared" si="7"/>
        <v>0</v>
      </c>
    </row>
    <row r="111" spans="1:5" s="76" customFormat="1" ht="14.25" customHeight="1">
      <c r="A111" s="47" t="s">
        <v>235</v>
      </c>
      <c r="B111" s="116">
        <v>0</v>
      </c>
      <c r="C111" s="121"/>
      <c r="D111" s="83" t="str">
        <f t="shared" si="6"/>
        <v>   </v>
      </c>
      <c r="E111" s="84">
        <f t="shared" si="7"/>
        <v>0</v>
      </c>
    </row>
    <row r="112" spans="1:5" s="76" customFormat="1" ht="14.25" customHeight="1">
      <c r="A112" s="47" t="s">
        <v>236</v>
      </c>
      <c r="B112" s="116">
        <v>0</v>
      </c>
      <c r="C112" s="121"/>
      <c r="D112" s="83" t="str">
        <f t="shared" si="6"/>
        <v>   </v>
      </c>
      <c r="E112" s="84">
        <f t="shared" si="7"/>
        <v>0</v>
      </c>
    </row>
    <row r="113" spans="1:5" s="76" customFormat="1" ht="26.25" customHeight="1">
      <c r="A113" s="118" t="s">
        <v>226</v>
      </c>
      <c r="B113" s="211">
        <f>SUM(B114:B115)</f>
        <v>0</v>
      </c>
      <c r="C113" s="211">
        <f>SUM(C114:C115)</f>
        <v>0</v>
      </c>
      <c r="D113" s="83" t="str">
        <f t="shared" si="6"/>
        <v>   </v>
      </c>
      <c r="E113" s="84">
        <f t="shared" si="7"/>
        <v>0</v>
      </c>
    </row>
    <row r="114" spans="1:5" s="76" customFormat="1" ht="14.25" customHeight="1">
      <c r="A114" s="47" t="s">
        <v>235</v>
      </c>
      <c r="B114" s="116">
        <v>0</v>
      </c>
      <c r="C114" s="121"/>
      <c r="D114" s="83" t="str">
        <f t="shared" si="6"/>
        <v>   </v>
      </c>
      <c r="E114" s="84">
        <f t="shared" si="7"/>
        <v>0</v>
      </c>
    </row>
    <row r="115" spans="1:5" s="76" customFormat="1" ht="12.75" customHeight="1">
      <c r="A115" s="47" t="s">
        <v>236</v>
      </c>
      <c r="B115" s="116">
        <v>0</v>
      </c>
      <c r="C115" s="121"/>
      <c r="D115" s="83" t="str">
        <f t="shared" si="6"/>
        <v>   </v>
      </c>
      <c r="E115" s="84">
        <f t="shared" si="7"/>
        <v>0</v>
      </c>
    </row>
    <row r="116" spans="1:5" s="76" customFormat="1" ht="16.5" customHeight="1">
      <c r="A116" s="158" t="s">
        <v>228</v>
      </c>
      <c r="B116" s="198">
        <f>SUM(B117:B119)</f>
        <v>0</v>
      </c>
      <c r="C116" s="198">
        <f>SUM(C117:C119)</f>
        <v>0</v>
      </c>
      <c r="D116" s="83" t="str">
        <f t="shared" si="6"/>
        <v>   </v>
      </c>
      <c r="E116" s="84">
        <f t="shared" si="7"/>
        <v>0</v>
      </c>
    </row>
    <row r="117" spans="1:5" s="76" customFormat="1" ht="16.5" customHeight="1">
      <c r="A117" s="47" t="s">
        <v>234</v>
      </c>
      <c r="B117" s="120">
        <v>0</v>
      </c>
      <c r="C117" s="121">
        <v>0</v>
      </c>
      <c r="D117" s="83" t="str">
        <f t="shared" si="6"/>
        <v>   </v>
      </c>
      <c r="E117" s="84">
        <f t="shared" si="7"/>
        <v>0</v>
      </c>
    </row>
    <row r="118" spans="1:5" s="76" customFormat="1" ht="16.5" customHeight="1">
      <c r="A118" s="47" t="s">
        <v>235</v>
      </c>
      <c r="B118" s="120">
        <v>0</v>
      </c>
      <c r="C118" s="121">
        <v>0</v>
      </c>
      <c r="D118" s="83" t="str">
        <f t="shared" si="6"/>
        <v>   </v>
      </c>
      <c r="E118" s="84">
        <f t="shared" si="7"/>
        <v>0</v>
      </c>
    </row>
    <row r="119" spans="1:5" s="76" customFormat="1" ht="16.5" customHeight="1">
      <c r="A119" s="47" t="s">
        <v>236</v>
      </c>
      <c r="B119" s="120">
        <v>0</v>
      </c>
      <c r="C119" s="121">
        <v>0</v>
      </c>
      <c r="D119" s="83" t="str">
        <f t="shared" si="6"/>
        <v>   </v>
      </c>
      <c r="E119" s="84">
        <f t="shared" si="7"/>
        <v>0</v>
      </c>
    </row>
    <row r="120" spans="1:5" s="76" customFormat="1" ht="16.5" customHeight="1">
      <c r="A120" s="137" t="s">
        <v>19</v>
      </c>
      <c r="B120" s="138">
        <f>SUM(B63,B70,B72,B74,B78,B90,B91,B96,B98,)</f>
        <v>2747200</v>
      </c>
      <c r="C120" s="138">
        <f>SUM(C63,C70,C72,C74,C78,C90,C91,C96,C98,)</f>
        <v>371688.46</v>
      </c>
      <c r="D120" s="139">
        <f>IF(B120=0,"   ",C120/B120*100)</f>
        <v>13.52971971461852</v>
      </c>
      <c r="E120" s="140">
        <f>C120-B120</f>
        <v>-2375511.54</v>
      </c>
    </row>
    <row r="121" spans="1:5" s="76" customFormat="1" ht="13.5" thickBot="1">
      <c r="A121" s="94" t="s">
        <v>211</v>
      </c>
      <c r="B121" s="213">
        <f>B65+B93</f>
        <v>476900</v>
      </c>
      <c r="C121" s="213">
        <f>C65+C93</f>
        <v>49360.5</v>
      </c>
      <c r="D121" s="108">
        <f>IF(B121=0,"   ",C121/B121*100)</f>
        <v>10.350283078213462</v>
      </c>
      <c r="E121" s="109">
        <f>C121-B121</f>
        <v>-427539.5</v>
      </c>
    </row>
    <row r="122" spans="1:5" s="76" customFormat="1" ht="12.75" customHeight="1" hidden="1">
      <c r="A122" s="103" t="s">
        <v>32</v>
      </c>
      <c r="B122" s="104"/>
      <c r="C122" s="105"/>
      <c r="D122" s="106" t="e">
        <f>IF(#REF!=0,"   ",C122/#REF!)</f>
        <v>#REF!</v>
      </c>
      <c r="E122" s="107" t="e">
        <f>C122-#REF!</f>
        <v>#REF!</v>
      </c>
    </row>
    <row r="123" spans="1:5" s="76" customFormat="1" ht="12.75" customHeight="1" hidden="1">
      <c r="A123" s="91" t="s">
        <v>33</v>
      </c>
      <c r="B123" s="92">
        <v>1122919</v>
      </c>
      <c r="C123" s="93">
        <v>815256</v>
      </c>
      <c r="D123" s="83" t="e">
        <f>IF(#REF!=0,"   ",C123/#REF!)</f>
        <v>#REF!</v>
      </c>
      <c r="E123" s="84" t="e">
        <f>C123-#REF!</f>
        <v>#REF!</v>
      </c>
    </row>
    <row r="124" spans="1:5" s="76" customFormat="1" ht="13.5" customHeight="1" hidden="1" thickBot="1">
      <c r="A124" s="94" t="s">
        <v>34</v>
      </c>
      <c r="B124" s="95">
        <v>1700000</v>
      </c>
      <c r="C124" s="96">
        <v>1700000</v>
      </c>
      <c r="D124" s="83" t="e">
        <f>IF(#REF!=0,"   ",C124/#REF!)</f>
        <v>#REF!</v>
      </c>
      <c r="E124" s="84" t="e">
        <f>C124-#REF!</f>
        <v>#REF!</v>
      </c>
    </row>
    <row r="125" spans="1:5" s="76" customFormat="1" ht="23.25" customHeight="1">
      <c r="A125" s="110" t="s">
        <v>251</v>
      </c>
      <c r="B125" s="110"/>
      <c r="C125" s="250"/>
      <c r="D125" s="250"/>
      <c r="E125" s="250"/>
    </row>
    <row r="126" spans="1:5" s="76" customFormat="1" ht="12" customHeight="1">
      <c r="A126" s="110" t="s">
        <v>250</v>
      </c>
      <c r="B126" s="110"/>
      <c r="C126" s="111" t="s">
        <v>252</v>
      </c>
      <c r="D126" s="112"/>
      <c r="E126" s="113"/>
    </row>
    <row r="127" spans="1:5" s="7" customFormat="1" ht="12.75">
      <c r="A127" s="44"/>
      <c r="B127" s="44"/>
      <c r="C127" s="45"/>
      <c r="D127" s="44"/>
      <c r="E127" s="46"/>
    </row>
    <row r="128" spans="3:5" s="7" customFormat="1" ht="12.75">
      <c r="C128" s="6"/>
      <c r="E128" s="2"/>
    </row>
    <row r="129" spans="3:5" s="7" customFormat="1" ht="12.75">
      <c r="C129" s="6"/>
      <c r="E129" s="2"/>
    </row>
    <row r="130" spans="3:5" s="7" customFormat="1" ht="12.75">
      <c r="C130" s="6"/>
      <c r="E130" s="2"/>
    </row>
    <row r="131" spans="3:5" s="7" customFormat="1" ht="12.75">
      <c r="C131" s="6"/>
      <c r="E131" s="2"/>
    </row>
    <row r="132" spans="3:5" s="7" customFormat="1" ht="12.75">
      <c r="C132" s="6"/>
      <c r="E132" s="2"/>
    </row>
    <row r="133" spans="3:5" s="7" customFormat="1" ht="12.75">
      <c r="C133" s="6"/>
      <c r="E133" s="2"/>
    </row>
    <row r="134" spans="3:5" s="7" customFormat="1" ht="12.75">
      <c r="C134" s="6"/>
      <c r="E134" s="2"/>
    </row>
    <row r="135" spans="3:5" s="7" customFormat="1" ht="12.75">
      <c r="C135" s="6"/>
      <c r="E135" s="2"/>
    </row>
    <row r="136" spans="3:5" s="7" customFormat="1" ht="12.75">
      <c r="C136" s="6"/>
      <c r="E136" s="2"/>
    </row>
  </sheetData>
  <mergeCells count="2">
    <mergeCell ref="C125:E125"/>
    <mergeCell ref="A1:E1"/>
  </mergeCells>
  <printOptions horizontalCentered="1" verticalCentered="1"/>
  <pageMargins left="0.5905511811023623" right="0.5905511811023623" top="0.35433070866141736" bottom="0.1968503937007874" header="0.11811023622047245" footer="0.1181102362204724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3"/>
  <sheetViews>
    <sheetView workbookViewId="0" topLeftCell="A34">
      <selection activeCell="B54" sqref="B54"/>
    </sheetView>
  </sheetViews>
  <sheetFormatPr defaultColWidth="9.00390625" defaultRowHeight="12.75"/>
  <cols>
    <col min="1" max="1" width="79.375" style="0" customWidth="1"/>
    <col min="2" max="2" width="16.125" style="0" customWidth="1"/>
    <col min="3" max="3" width="18.75390625" style="0" customWidth="1"/>
    <col min="4" max="4" width="17.375" style="0" customWidth="1"/>
    <col min="5" max="5" width="19.25390625" style="0" customWidth="1"/>
  </cols>
  <sheetData>
    <row r="1" spans="1:5" ht="18">
      <c r="A1" s="252" t="s">
        <v>304</v>
      </c>
      <c r="B1" s="252"/>
      <c r="C1" s="252"/>
      <c r="D1" s="252"/>
      <c r="E1" s="252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3" customHeight="1">
      <c r="A4" s="35" t="s">
        <v>1</v>
      </c>
      <c r="B4" s="19" t="s">
        <v>302</v>
      </c>
      <c r="C4" s="32" t="s">
        <v>305</v>
      </c>
      <c r="D4" s="19" t="s">
        <v>276</v>
      </c>
      <c r="E4" s="101" t="s">
        <v>303</v>
      </c>
    </row>
    <row r="5" spans="1:5" ht="12.75">
      <c r="A5" s="13">
        <v>1</v>
      </c>
      <c r="B5" s="97"/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58</v>
      </c>
      <c r="B7" s="191">
        <f>SUM(B8)</f>
        <v>91500</v>
      </c>
      <c r="C7" s="191">
        <f>SUM(C8)</f>
        <v>5799.24</v>
      </c>
      <c r="D7" s="26">
        <f aca="true" t="shared" si="0" ref="D7:D67">IF(B7=0,"   ",C7/B7*100)</f>
        <v>6.337967213114753</v>
      </c>
      <c r="E7" s="49">
        <f aca="true" t="shared" si="1" ref="E7:E87">C7-B7</f>
        <v>-85700.76</v>
      </c>
    </row>
    <row r="8" spans="1:5" ht="12.75">
      <c r="A8" s="16" t="s">
        <v>57</v>
      </c>
      <c r="B8" s="25">
        <v>91500</v>
      </c>
      <c r="C8" s="27">
        <v>5799.24</v>
      </c>
      <c r="D8" s="26">
        <f t="shared" si="0"/>
        <v>6.337967213114753</v>
      </c>
      <c r="E8" s="49">
        <f t="shared" si="1"/>
        <v>-85700.76</v>
      </c>
    </row>
    <row r="9" spans="1:5" ht="12.75">
      <c r="A9" s="16" t="s">
        <v>7</v>
      </c>
      <c r="B9" s="193">
        <f>SUM(B10:B10)</f>
        <v>900</v>
      </c>
      <c r="C9" s="193">
        <f>SUM(C10:C10)</f>
        <v>46.03</v>
      </c>
      <c r="D9" s="26">
        <f t="shared" si="0"/>
        <v>5.114444444444445</v>
      </c>
      <c r="E9" s="49">
        <f t="shared" si="1"/>
        <v>-853.97</v>
      </c>
    </row>
    <row r="10" spans="1:5" ht="15" customHeight="1">
      <c r="A10" s="16" t="s">
        <v>38</v>
      </c>
      <c r="B10" s="25">
        <v>900</v>
      </c>
      <c r="C10" s="27">
        <v>46.03</v>
      </c>
      <c r="D10" s="26">
        <f t="shared" si="0"/>
        <v>5.114444444444445</v>
      </c>
      <c r="E10" s="49">
        <f t="shared" si="1"/>
        <v>-853.97</v>
      </c>
    </row>
    <row r="11" spans="1:5" ht="12.75">
      <c r="A11" s="16" t="s">
        <v>9</v>
      </c>
      <c r="B11" s="193">
        <f>SUM(B12:B13)</f>
        <v>390800</v>
      </c>
      <c r="C11" s="193">
        <f>SUM(C12:C13)</f>
        <v>75493.98000000001</v>
      </c>
      <c r="D11" s="26">
        <f t="shared" si="0"/>
        <v>19.317804503582398</v>
      </c>
      <c r="E11" s="49">
        <f t="shared" si="1"/>
        <v>-315306.02</v>
      </c>
    </row>
    <row r="12" spans="1:5" ht="12" customHeight="1">
      <c r="A12" s="16" t="s">
        <v>185</v>
      </c>
      <c r="B12" s="25">
        <v>40800</v>
      </c>
      <c r="C12" s="33">
        <v>231.99</v>
      </c>
      <c r="D12" s="26">
        <f t="shared" si="0"/>
        <v>0.5686029411764706</v>
      </c>
      <c r="E12" s="49">
        <f t="shared" si="1"/>
        <v>-40568.01</v>
      </c>
    </row>
    <row r="13" spans="1:5" ht="12.75">
      <c r="A13" s="16" t="s">
        <v>10</v>
      </c>
      <c r="B13" s="25">
        <v>350000</v>
      </c>
      <c r="C13" s="27">
        <v>75261.99</v>
      </c>
      <c r="D13" s="26">
        <f t="shared" si="0"/>
        <v>21.503425714285715</v>
      </c>
      <c r="E13" s="49">
        <f t="shared" si="1"/>
        <v>-274738.01</v>
      </c>
    </row>
    <row r="14" spans="1:5" ht="25.5">
      <c r="A14" s="16" t="s">
        <v>127</v>
      </c>
      <c r="B14" s="25">
        <v>0</v>
      </c>
      <c r="C14" s="25">
        <v>603.64</v>
      </c>
      <c r="D14" s="26" t="str">
        <f t="shared" si="0"/>
        <v>   </v>
      </c>
      <c r="E14" s="49">
        <f t="shared" si="1"/>
        <v>603.64</v>
      </c>
    </row>
    <row r="15" spans="1:5" ht="25.5" customHeight="1">
      <c r="A15" s="16" t="s">
        <v>40</v>
      </c>
      <c r="B15" s="193">
        <f>SUM(B16,B17)</f>
        <v>16800</v>
      </c>
      <c r="C15" s="193">
        <f>SUM(C16,C17)</f>
        <v>0</v>
      </c>
      <c r="D15" s="26">
        <f t="shared" si="0"/>
        <v>0</v>
      </c>
      <c r="E15" s="49">
        <f t="shared" si="1"/>
        <v>-16800</v>
      </c>
    </row>
    <row r="16" spans="1:5" ht="12.75">
      <c r="A16" s="16" t="s">
        <v>41</v>
      </c>
      <c r="B16" s="25">
        <v>7100</v>
      </c>
      <c r="C16" s="33">
        <v>0</v>
      </c>
      <c r="D16" s="26">
        <f t="shared" si="0"/>
        <v>0</v>
      </c>
      <c r="E16" s="49">
        <f t="shared" si="1"/>
        <v>-7100</v>
      </c>
    </row>
    <row r="17" spans="1:5" ht="26.25" customHeight="1">
      <c r="A17" s="16" t="s">
        <v>42</v>
      </c>
      <c r="B17" s="25">
        <v>9700</v>
      </c>
      <c r="C17" s="27">
        <v>0</v>
      </c>
      <c r="D17" s="26">
        <f t="shared" si="0"/>
        <v>0</v>
      </c>
      <c r="E17" s="49">
        <f t="shared" si="1"/>
        <v>-9700</v>
      </c>
    </row>
    <row r="18" spans="1:5" ht="20.25" customHeight="1">
      <c r="A18" s="42" t="s">
        <v>131</v>
      </c>
      <c r="B18" s="25">
        <v>0</v>
      </c>
      <c r="C18" s="27">
        <v>0</v>
      </c>
      <c r="D18" s="26" t="str">
        <f t="shared" si="0"/>
        <v>   </v>
      </c>
      <c r="E18" s="49">
        <f t="shared" si="1"/>
        <v>0</v>
      </c>
    </row>
    <row r="19" spans="1:5" ht="15" customHeight="1">
      <c r="A19" s="16" t="s">
        <v>104</v>
      </c>
      <c r="B19" s="193">
        <f>SUM(B20)</f>
        <v>0</v>
      </c>
      <c r="C19" s="193">
        <v>0</v>
      </c>
      <c r="D19" s="26" t="str">
        <f t="shared" si="0"/>
        <v>   </v>
      </c>
      <c r="E19" s="49">
        <f t="shared" si="1"/>
        <v>0</v>
      </c>
    </row>
    <row r="20" spans="1:5" ht="27" customHeight="1">
      <c r="A20" s="16" t="s">
        <v>105</v>
      </c>
      <c r="B20" s="24">
        <v>0</v>
      </c>
      <c r="C20" s="33">
        <v>0</v>
      </c>
      <c r="D20" s="26"/>
      <c r="E20" s="49">
        <f t="shared" si="1"/>
        <v>0</v>
      </c>
    </row>
    <row r="21" spans="1:5" ht="12.75">
      <c r="A21" s="16" t="s">
        <v>44</v>
      </c>
      <c r="B21" s="193">
        <f>SUM(B22)</f>
        <v>0</v>
      </c>
      <c r="C21" s="193">
        <f>C22</f>
        <v>27.36</v>
      </c>
      <c r="D21" s="26" t="str">
        <f t="shared" si="0"/>
        <v>   </v>
      </c>
      <c r="E21" s="49">
        <f t="shared" si="1"/>
        <v>27.36</v>
      </c>
    </row>
    <row r="22" spans="1:5" ht="14.25" customHeight="1">
      <c r="A22" s="16" t="s">
        <v>66</v>
      </c>
      <c r="B22" s="25">
        <v>0</v>
      </c>
      <c r="C22" s="27">
        <v>27.36</v>
      </c>
      <c r="D22" s="26" t="str">
        <f t="shared" si="0"/>
        <v>   </v>
      </c>
      <c r="E22" s="49">
        <f t="shared" si="1"/>
        <v>27.36</v>
      </c>
    </row>
    <row r="23" spans="1:5" ht="14.25" customHeight="1">
      <c r="A23" s="16" t="s">
        <v>43</v>
      </c>
      <c r="B23" s="25">
        <v>0</v>
      </c>
      <c r="C23" s="25">
        <v>0</v>
      </c>
      <c r="D23" s="26" t="str">
        <f t="shared" si="0"/>
        <v>   </v>
      </c>
      <c r="E23" s="49">
        <f t="shared" si="1"/>
        <v>0</v>
      </c>
    </row>
    <row r="24" spans="1:5" ht="18" customHeight="1">
      <c r="A24" s="164" t="s">
        <v>11</v>
      </c>
      <c r="B24" s="217">
        <f>B7+B9+B11+B15+B18+B19+B21+B23</f>
        <v>500000</v>
      </c>
      <c r="C24" s="165">
        <f>SUM(C7,C9,C11,C14,C15,C18,C19,C21,C23,)</f>
        <v>81970.25000000001</v>
      </c>
      <c r="D24" s="166">
        <f t="shared" si="0"/>
        <v>16.39405</v>
      </c>
      <c r="E24" s="167">
        <f t="shared" si="1"/>
        <v>-418029.75</v>
      </c>
    </row>
    <row r="25" spans="1:5" ht="17.25" customHeight="1">
      <c r="A25" s="17" t="s">
        <v>46</v>
      </c>
      <c r="B25" s="24">
        <v>828000</v>
      </c>
      <c r="C25" s="24">
        <v>144850</v>
      </c>
      <c r="D25" s="26">
        <f t="shared" si="0"/>
        <v>17.493961352657006</v>
      </c>
      <c r="E25" s="49">
        <f t="shared" si="1"/>
        <v>-683150</v>
      </c>
    </row>
    <row r="26" spans="1:5" ht="28.5" customHeight="1">
      <c r="A26" s="16" t="s">
        <v>63</v>
      </c>
      <c r="B26" s="25">
        <v>492200</v>
      </c>
      <c r="C26" s="27">
        <v>50000</v>
      </c>
      <c r="D26" s="26">
        <f t="shared" si="0"/>
        <v>10.158472165786266</v>
      </c>
      <c r="E26" s="49">
        <f t="shared" si="1"/>
        <v>-442200</v>
      </c>
    </row>
    <row r="27" spans="1:5" ht="44.25" customHeight="1">
      <c r="A27" s="200" t="s">
        <v>67</v>
      </c>
      <c r="B27" s="201">
        <v>50300</v>
      </c>
      <c r="C27" s="205">
        <v>8400</v>
      </c>
      <c r="D27" s="202">
        <f t="shared" si="0"/>
        <v>16.69980119284294</v>
      </c>
      <c r="E27" s="203">
        <f t="shared" si="1"/>
        <v>-41900</v>
      </c>
    </row>
    <row r="28" spans="1:5" ht="26.25" customHeight="1">
      <c r="A28" s="16" t="s">
        <v>68</v>
      </c>
      <c r="B28" s="25">
        <v>0</v>
      </c>
      <c r="C28" s="27">
        <v>0</v>
      </c>
      <c r="D28" s="26" t="str">
        <f t="shared" si="0"/>
        <v>   </v>
      </c>
      <c r="E28" s="49">
        <f t="shared" si="1"/>
        <v>0</v>
      </c>
    </row>
    <row r="29" spans="1:5" ht="52.5" customHeight="1">
      <c r="A29" s="16" t="s">
        <v>108</v>
      </c>
      <c r="B29" s="25">
        <v>0</v>
      </c>
      <c r="C29" s="27">
        <v>0</v>
      </c>
      <c r="D29" s="26" t="str">
        <f t="shared" si="0"/>
        <v>   </v>
      </c>
      <c r="E29" s="49">
        <f t="shared" si="1"/>
        <v>0</v>
      </c>
    </row>
    <row r="30" spans="1:5" ht="25.5" customHeight="1">
      <c r="A30" s="16" t="s">
        <v>121</v>
      </c>
      <c r="B30" s="25">
        <v>0</v>
      </c>
      <c r="C30" s="27">
        <v>0</v>
      </c>
      <c r="D30" s="26" t="str">
        <f t="shared" si="0"/>
        <v>   </v>
      </c>
      <c r="E30" s="49">
        <f t="shared" si="1"/>
        <v>0</v>
      </c>
    </row>
    <row r="31" spans="1:5" ht="27" customHeight="1">
      <c r="A31" s="16" t="s">
        <v>76</v>
      </c>
      <c r="B31" s="25">
        <v>0</v>
      </c>
      <c r="C31" s="27">
        <v>0</v>
      </c>
      <c r="D31" s="26" t="str">
        <f t="shared" si="0"/>
        <v>   </v>
      </c>
      <c r="E31" s="49">
        <f t="shared" si="1"/>
        <v>0</v>
      </c>
    </row>
    <row r="32" spans="1:5" ht="27.75" customHeight="1">
      <c r="A32" s="200" t="s">
        <v>149</v>
      </c>
      <c r="B32" s="201">
        <v>6600</v>
      </c>
      <c r="C32" s="201">
        <v>0</v>
      </c>
      <c r="D32" s="202">
        <f t="shared" si="0"/>
        <v>0</v>
      </c>
      <c r="E32" s="203">
        <f t="shared" si="1"/>
        <v>-6600</v>
      </c>
    </row>
    <row r="33" spans="1:5" ht="18" customHeight="1">
      <c r="A33" s="16" t="s">
        <v>109</v>
      </c>
      <c r="B33" s="194">
        <f>B34</f>
        <v>68800</v>
      </c>
      <c r="C33" s="194">
        <f>C34</f>
        <v>0</v>
      </c>
      <c r="D33" s="26">
        <f t="shared" si="0"/>
        <v>0</v>
      </c>
      <c r="E33" s="49">
        <f t="shared" si="1"/>
        <v>-68800</v>
      </c>
    </row>
    <row r="34" spans="1:5" s="7" customFormat="1" ht="14.25" customHeight="1">
      <c r="A34" s="16" t="s">
        <v>180</v>
      </c>
      <c r="B34" s="64">
        <v>68800</v>
      </c>
      <c r="C34" s="27">
        <v>0</v>
      </c>
      <c r="D34" s="26">
        <f t="shared" si="0"/>
        <v>0</v>
      </c>
      <c r="E34" s="43">
        <f t="shared" si="1"/>
        <v>-68800</v>
      </c>
    </row>
    <row r="35" spans="1:5" ht="39" customHeight="1">
      <c r="A35" s="16" t="s">
        <v>150</v>
      </c>
      <c r="B35" s="25">
        <v>0</v>
      </c>
      <c r="C35" s="25">
        <v>0</v>
      </c>
      <c r="D35" s="26" t="str">
        <f t="shared" si="0"/>
        <v>   </v>
      </c>
      <c r="E35" s="49">
        <f t="shared" si="1"/>
        <v>0</v>
      </c>
    </row>
    <row r="36" spans="1:5" ht="25.5" customHeight="1">
      <c r="A36" s="164" t="s">
        <v>14</v>
      </c>
      <c r="B36" s="168">
        <f>SUM(B24,B25,B26:B33,B35,)</f>
        <v>1945900</v>
      </c>
      <c r="C36" s="142">
        <f>SUM(C24,C25,C26:C33,C35,)</f>
        <v>285220.25</v>
      </c>
      <c r="D36" s="249">
        <f t="shared" si="0"/>
        <v>14.657497815920653</v>
      </c>
      <c r="E36" s="167">
        <f t="shared" si="1"/>
        <v>-1660679.75</v>
      </c>
    </row>
    <row r="37" spans="1:5" ht="14.25" customHeight="1">
      <c r="A37" s="30" t="s">
        <v>64</v>
      </c>
      <c r="B37" s="24"/>
      <c r="C37" s="25"/>
      <c r="D37" s="26" t="str">
        <f t="shared" si="0"/>
        <v>   </v>
      </c>
      <c r="E37" s="49"/>
    </row>
    <row r="38" spans="1:5" ht="12.75">
      <c r="A38" s="22" t="s">
        <v>15</v>
      </c>
      <c r="B38" s="51"/>
      <c r="C38" s="52"/>
      <c r="D38" s="26" t="str">
        <f t="shared" si="0"/>
        <v>   </v>
      </c>
      <c r="E38" s="49"/>
    </row>
    <row r="39" spans="1:5" ht="12.75">
      <c r="A39" s="16" t="s">
        <v>48</v>
      </c>
      <c r="B39" s="25">
        <v>755600</v>
      </c>
      <c r="C39" s="25">
        <v>103412.95</v>
      </c>
      <c r="D39" s="26">
        <f t="shared" si="0"/>
        <v>13.68620301746956</v>
      </c>
      <c r="E39" s="49">
        <f t="shared" si="1"/>
        <v>-652187.05</v>
      </c>
    </row>
    <row r="40" spans="1:5" ht="16.5" customHeight="1">
      <c r="A40" s="16" t="s">
        <v>49</v>
      </c>
      <c r="B40" s="25">
        <v>755100</v>
      </c>
      <c r="C40" s="25">
        <v>103412.95</v>
      </c>
      <c r="D40" s="26">
        <f t="shared" si="0"/>
        <v>13.695265527744668</v>
      </c>
      <c r="E40" s="49">
        <f t="shared" si="1"/>
        <v>-651687.05</v>
      </c>
    </row>
    <row r="41" spans="1:5" ht="12.75">
      <c r="A41" s="118" t="s">
        <v>209</v>
      </c>
      <c r="B41" s="25">
        <v>476900</v>
      </c>
      <c r="C41" s="28">
        <v>68335.06</v>
      </c>
      <c r="D41" s="26">
        <f t="shared" si="0"/>
        <v>14.329012371566366</v>
      </c>
      <c r="E41" s="49">
        <f t="shared" si="1"/>
        <v>-408564.94</v>
      </c>
    </row>
    <row r="42" spans="1:5" ht="12.75">
      <c r="A42" s="16" t="s">
        <v>181</v>
      </c>
      <c r="B42" s="25">
        <v>0</v>
      </c>
      <c r="C42" s="28">
        <v>0</v>
      </c>
      <c r="D42" s="26" t="str">
        <f t="shared" si="0"/>
        <v>   </v>
      </c>
      <c r="E42" s="49">
        <f t="shared" si="1"/>
        <v>0</v>
      </c>
    </row>
    <row r="43" spans="1:5" ht="12.75">
      <c r="A43" s="16" t="s">
        <v>148</v>
      </c>
      <c r="B43" s="25">
        <v>500</v>
      </c>
      <c r="C43" s="27">
        <v>0</v>
      </c>
      <c r="D43" s="26">
        <f t="shared" si="0"/>
        <v>0</v>
      </c>
      <c r="E43" s="49">
        <f t="shared" si="1"/>
        <v>-500</v>
      </c>
    </row>
    <row r="44" spans="1:5" ht="12.75">
      <c r="A44" s="16" t="s">
        <v>65</v>
      </c>
      <c r="B44" s="194">
        <f>SUM(B45)</f>
        <v>50300</v>
      </c>
      <c r="C44" s="194">
        <f>SUM(C45)</f>
        <v>3922.19</v>
      </c>
      <c r="D44" s="26">
        <f t="shared" si="0"/>
        <v>7.7975944333996035</v>
      </c>
      <c r="E44" s="49">
        <f t="shared" si="1"/>
        <v>-46377.81</v>
      </c>
    </row>
    <row r="45" spans="1:5" ht="27.75" customHeight="1">
      <c r="A45" s="16" t="s">
        <v>176</v>
      </c>
      <c r="B45" s="25">
        <v>50300</v>
      </c>
      <c r="C45" s="27">
        <v>3922.19</v>
      </c>
      <c r="D45" s="26">
        <f t="shared" si="0"/>
        <v>7.7975944333996035</v>
      </c>
      <c r="E45" s="49">
        <f t="shared" si="1"/>
        <v>-46377.81</v>
      </c>
    </row>
    <row r="46" spans="1:5" ht="18" customHeight="1">
      <c r="A46" s="16" t="s">
        <v>50</v>
      </c>
      <c r="B46" s="193">
        <f>SUM(B47)</f>
        <v>400</v>
      </c>
      <c r="C46" s="194">
        <f>SUM(C47)</f>
        <v>0</v>
      </c>
      <c r="D46" s="26">
        <f t="shared" si="0"/>
        <v>0</v>
      </c>
      <c r="E46" s="49">
        <f t="shared" si="1"/>
        <v>-400</v>
      </c>
    </row>
    <row r="47" spans="1:5" ht="25.5" customHeight="1">
      <c r="A47" s="47" t="s">
        <v>129</v>
      </c>
      <c r="B47" s="25">
        <v>400</v>
      </c>
      <c r="C47" s="27">
        <v>0</v>
      </c>
      <c r="D47" s="26">
        <f t="shared" si="0"/>
        <v>0</v>
      </c>
      <c r="E47" s="49">
        <f t="shared" si="1"/>
        <v>-400</v>
      </c>
    </row>
    <row r="48" spans="1:5" ht="12.75">
      <c r="A48" s="16" t="s">
        <v>51</v>
      </c>
      <c r="B48" s="193">
        <f>B49</f>
        <v>118800</v>
      </c>
      <c r="C48" s="193">
        <f>C49</f>
        <v>0</v>
      </c>
      <c r="D48" s="26">
        <f t="shared" si="0"/>
        <v>0</v>
      </c>
      <c r="E48" s="49">
        <f t="shared" si="1"/>
        <v>-118800</v>
      </c>
    </row>
    <row r="49" spans="1:5" ht="12.75">
      <c r="A49" s="145" t="s">
        <v>287</v>
      </c>
      <c r="B49" s="193">
        <f>B50+B51</f>
        <v>118800</v>
      </c>
      <c r="C49" s="193">
        <f>C50+C51</f>
        <v>0</v>
      </c>
      <c r="D49" s="26"/>
      <c r="E49" s="49"/>
    </row>
    <row r="50" spans="1:5" ht="28.5" customHeight="1">
      <c r="A50" s="91" t="s">
        <v>288</v>
      </c>
      <c r="B50" s="193">
        <v>68800</v>
      </c>
      <c r="C50" s="193">
        <v>0</v>
      </c>
      <c r="D50" s="26">
        <f t="shared" si="0"/>
        <v>0</v>
      </c>
      <c r="E50" s="49">
        <f t="shared" si="1"/>
        <v>-68800</v>
      </c>
    </row>
    <row r="51" spans="1:5" ht="30.75" customHeight="1">
      <c r="A51" s="91" t="s">
        <v>289</v>
      </c>
      <c r="B51" s="25">
        <v>50000</v>
      </c>
      <c r="C51" s="25">
        <v>0</v>
      </c>
      <c r="D51" s="26">
        <f t="shared" si="0"/>
        <v>0</v>
      </c>
      <c r="E51" s="49">
        <f t="shared" si="1"/>
        <v>-50000</v>
      </c>
    </row>
    <row r="52" spans="1:5" ht="15.75" customHeight="1">
      <c r="A52" s="16" t="s">
        <v>16</v>
      </c>
      <c r="B52" s="193">
        <f>SUM(B53,)</f>
        <v>150000</v>
      </c>
      <c r="C52" s="193">
        <f>SUM(C53,)</f>
        <v>41246</v>
      </c>
      <c r="D52" s="26">
        <f t="shared" si="0"/>
        <v>27.497333333333334</v>
      </c>
      <c r="E52" s="49">
        <f t="shared" si="1"/>
        <v>-108754</v>
      </c>
    </row>
    <row r="53" spans="1:5" ht="12.75">
      <c r="A53" s="16" t="s">
        <v>79</v>
      </c>
      <c r="B53" s="25">
        <v>150000</v>
      </c>
      <c r="C53" s="25">
        <v>41246</v>
      </c>
      <c r="D53" s="26">
        <f t="shared" si="0"/>
        <v>27.497333333333334</v>
      </c>
      <c r="E53" s="49">
        <f t="shared" si="1"/>
        <v>-108754</v>
      </c>
    </row>
    <row r="54" spans="1:5" ht="12.75">
      <c r="A54" s="16" t="s">
        <v>81</v>
      </c>
      <c r="B54" s="25">
        <v>150000</v>
      </c>
      <c r="C54" s="27">
        <v>41246</v>
      </c>
      <c r="D54" s="26">
        <f t="shared" si="0"/>
        <v>27.497333333333334</v>
      </c>
      <c r="E54" s="49">
        <f t="shared" si="1"/>
        <v>-108754</v>
      </c>
    </row>
    <row r="55" spans="1:5" ht="12.75">
      <c r="A55" s="16" t="s">
        <v>80</v>
      </c>
      <c r="B55" s="25">
        <v>0</v>
      </c>
      <c r="C55" s="27">
        <v>0</v>
      </c>
      <c r="D55" s="26" t="str">
        <f t="shared" si="0"/>
        <v>   </v>
      </c>
      <c r="E55" s="49">
        <f t="shared" si="1"/>
        <v>0</v>
      </c>
    </row>
    <row r="56" spans="1:5" ht="14.25" customHeight="1">
      <c r="A56" s="18" t="s">
        <v>24</v>
      </c>
      <c r="B56" s="31">
        <v>3000</v>
      </c>
      <c r="C56" s="31">
        <v>0</v>
      </c>
      <c r="D56" s="26">
        <f t="shared" si="0"/>
        <v>0</v>
      </c>
      <c r="E56" s="49">
        <f t="shared" si="1"/>
        <v>-3000</v>
      </c>
    </row>
    <row r="57" spans="1:5" ht="13.5" customHeight="1">
      <c r="A57" s="16" t="s">
        <v>54</v>
      </c>
      <c r="B57" s="191">
        <f>SUM(B58,)</f>
        <v>767800</v>
      </c>
      <c r="C57" s="191">
        <f>SUM(C58,)</f>
        <v>102000</v>
      </c>
      <c r="D57" s="26">
        <f t="shared" si="0"/>
        <v>13.284709559781193</v>
      </c>
      <c r="E57" s="49">
        <f t="shared" si="1"/>
        <v>-665800</v>
      </c>
    </row>
    <row r="58" spans="1:5" ht="12.75">
      <c r="A58" s="16" t="s">
        <v>55</v>
      </c>
      <c r="B58" s="25">
        <v>767800</v>
      </c>
      <c r="C58" s="27">
        <v>102000</v>
      </c>
      <c r="D58" s="26">
        <f t="shared" si="0"/>
        <v>13.284709559781193</v>
      </c>
      <c r="E58" s="49">
        <f t="shared" si="1"/>
        <v>-665800</v>
      </c>
    </row>
    <row r="59" spans="1:5" ht="12.75">
      <c r="A59" s="118" t="s">
        <v>209</v>
      </c>
      <c r="B59" s="25">
        <v>0</v>
      </c>
      <c r="C59" s="27">
        <v>0</v>
      </c>
      <c r="D59" s="26" t="str">
        <f t="shared" si="0"/>
        <v>   </v>
      </c>
      <c r="E59" s="49">
        <f t="shared" si="1"/>
        <v>0</v>
      </c>
    </row>
    <row r="60" spans="1:5" ht="12.75" customHeight="1">
      <c r="A60" s="16" t="s">
        <v>177</v>
      </c>
      <c r="B60" s="25">
        <v>6600</v>
      </c>
      <c r="C60" s="27">
        <v>0</v>
      </c>
      <c r="D60" s="26">
        <f t="shared" si="0"/>
        <v>0</v>
      </c>
      <c r="E60" s="49">
        <f t="shared" si="1"/>
        <v>-6600</v>
      </c>
    </row>
    <row r="61" spans="1:5" ht="12.75" customHeight="1">
      <c r="A61" s="16" t="s">
        <v>203</v>
      </c>
      <c r="B61" s="25">
        <v>0</v>
      </c>
      <c r="C61" s="27">
        <v>0</v>
      </c>
      <c r="D61" s="26" t="str">
        <f t="shared" si="0"/>
        <v>   </v>
      </c>
      <c r="E61" s="49">
        <f t="shared" si="1"/>
        <v>0</v>
      </c>
    </row>
    <row r="62" spans="1:5" ht="12.75">
      <c r="A62" s="200" t="s">
        <v>215</v>
      </c>
      <c r="B62" s="225">
        <f>SUM(B63,)</f>
        <v>20000</v>
      </c>
      <c r="C62" s="225">
        <f>SUM(C63,)</f>
        <v>0</v>
      </c>
      <c r="D62" s="202">
        <f t="shared" si="0"/>
        <v>0</v>
      </c>
      <c r="E62" s="203">
        <f t="shared" si="1"/>
        <v>-20000</v>
      </c>
    </row>
    <row r="63" spans="1:5" ht="12.75">
      <c r="A63" s="200" t="s">
        <v>56</v>
      </c>
      <c r="B63" s="201">
        <v>20000</v>
      </c>
      <c r="C63" s="230">
        <v>0</v>
      </c>
      <c r="D63" s="202">
        <f t="shared" si="0"/>
        <v>0</v>
      </c>
      <c r="E63" s="203">
        <f t="shared" si="1"/>
        <v>-20000</v>
      </c>
    </row>
    <row r="64" spans="1:5" ht="12.75">
      <c r="A64" s="118" t="s">
        <v>18</v>
      </c>
      <c r="B64" s="211">
        <f>B65</f>
        <v>80000</v>
      </c>
      <c r="C64" s="211">
        <f>C65</f>
        <v>0</v>
      </c>
      <c r="D64" s="231">
        <f t="shared" si="0"/>
        <v>0</v>
      </c>
      <c r="E64" s="232">
        <f t="shared" si="1"/>
        <v>-80000</v>
      </c>
    </row>
    <row r="65" spans="1:5" ht="12.75">
      <c r="A65" s="16" t="s">
        <v>224</v>
      </c>
      <c r="B65" s="193">
        <f>SUM(B66,B75,B82)</f>
        <v>80000</v>
      </c>
      <c r="C65" s="193">
        <f>SUM(C66,C75,C82)</f>
        <v>0</v>
      </c>
      <c r="D65" s="26">
        <f t="shared" si="0"/>
        <v>0</v>
      </c>
      <c r="E65" s="49">
        <f t="shared" si="1"/>
        <v>-80000</v>
      </c>
    </row>
    <row r="66" spans="1:5" ht="12.75">
      <c r="A66" s="119" t="s">
        <v>254</v>
      </c>
      <c r="B66" s="198">
        <f>SUM(B67,B71)</f>
        <v>80000</v>
      </c>
      <c r="C66" s="198">
        <f>SUM(C67,C71)</f>
        <v>0</v>
      </c>
      <c r="D66" s="26">
        <f t="shared" si="0"/>
        <v>0</v>
      </c>
      <c r="E66" s="49">
        <f t="shared" si="1"/>
        <v>-80000</v>
      </c>
    </row>
    <row r="67" spans="1:5" ht="25.5">
      <c r="A67" s="16" t="s">
        <v>227</v>
      </c>
      <c r="B67" s="193">
        <f>SUM(B68:B70)</f>
        <v>80000</v>
      </c>
      <c r="C67" s="193">
        <f>SUM(C68:C70)</f>
        <v>0</v>
      </c>
      <c r="D67" s="26">
        <f t="shared" si="0"/>
        <v>0</v>
      </c>
      <c r="E67" s="49">
        <f t="shared" si="1"/>
        <v>-80000</v>
      </c>
    </row>
    <row r="68" spans="1:5" ht="12.75">
      <c r="A68" s="47" t="s">
        <v>234</v>
      </c>
      <c r="B68" s="25">
        <v>0</v>
      </c>
      <c r="C68" s="25"/>
      <c r="D68" s="26" t="str">
        <f aca="true" t="shared" si="2" ref="D68:D86">IF(B68=0,"   ",C68/B68*100)</f>
        <v>   </v>
      </c>
      <c r="E68" s="49">
        <f t="shared" si="1"/>
        <v>0</v>
      </c>
    </row>
    <row r="69" spans="1:5" ht="12.75">
      <c r="A69" s="47" t="s">
        <v>235</v>
      </c>
      <c r="B69" s="25">
        <v>0</v>
      </c>
      <c r="C69" s="25"/>
      <c r="D69" s="26" t="str">
        <f t="shared" si="2"/>
        <v>   </v>
      </c>
      <c r="E69" s="49">
        <f t="shared" si="1"/>
        <v>0</v>
      </c>
    </row>
    <row r="70" spans="1:5" ht="12.75">
      <c r="A70" s="47" t="s">
        <v>236</v>
      </c>
      <c r="B70" s="25">
        <v>80000</v>
      </c>
      <c r="C70" s="25">
        <v>0</v>
      </c>
      <c r="D70" s="26">
        <f t="shared" si="2"/>
        <v>0</v>
      </c>
      <c r="E70" s="49">
        <f t="shared" si="1"/>
        <v>-80000</v>
      </c>
    </row>
    <row r="71" spans="1:5" ht="25.5">
      <c r="A71" s="16" t="s">
        <v>226</v>
      </c>
      <c r="B71" s="193">
        <f>SUM(B72:B74)</f>
        <v>0</v>
      </c>
      <c r="C71" s="193">
        <f>SUM(C72:C74)</f>
        <v>0</v>
      </c>
      <c r="D71" s="26" t="str">
        <f t="shared" si="2"/>
        <v>   </v>
      </c>
      <c r="E71" s="49">
        <f t="shared" si="1"/>
        <v>0</v>
      </c>
    </row>
    <row r="72" spans="1:5" ht="12.75">
      <c r="A72" s="47" t="s">
        <v>234</v>
      </c>
      <c r="B72" s="25">
        <v>0</v>
      </c>
      <c r="C72" s="25"/>
      <c r="D72" s="26" t="str">
        <f t="shared" si="2"/>
        <v>   </v>
      </c>
      <c r="E72" s="49">
        <f t="shared" si="1"/>
        <v>0</v>
      </c>
    </row>
    <row r="73" spans="1:5" ht="12.75">
      <c r="A73" s="47" t="s">
        <v>235</v>
      </c>
      <c r="B73" s="25">
        <v>0</v>
      </c>
      <c r="C73" s="25"/>
      <c r="D73" s="26" t="str">
        <f t="shared" si="2"/>
        <v>   </v>
      </c>
      <c r="E73" s="49">
        <f t="shared" si="1"/>
        <v>0</v>
      </c>
    </row>
    <row r="74" spans="1:5" ht="12.75">
      <c r="A74" s="47" t="s">
        <v>236</v>
      </c>
      <c r="B74" s="25">
        <v>0</v>
      </c>
      <c r="C74" s="25"/>
      <c r="D74" s="26" t="str">
        <f t="shared" si="2"/>
        <v>   </v>
      </c>
      <c r="E74" s="49">
        <f t="shared" si="1"/>
        <v>0</v>
      </c>
    </row>
    <row r="75" spans="1:5" ht="12.75">
      <c r="A75" s="119" t="s">
        <v>223</v>
      </c>
      <c r="B75" s="198">
        <f>SUM(B76,B79)</f>
        <v>0</v>
      </c>
      <c r="C75" s="198">
        <f>SUM(C76,C79)</f>
        <v>0</v>
      </c>
      <c r="D75" s="26" t="str">
        <f t="shared" si="2"/>
        <v>   </v>
      </c>
      <c r="E75" s="49">
        <f t="shared" si="1"/>
        <v>0</v>
      </c>
    </row>
    <row r="76" spans="1:5" ht="25.5">
      <c r="A76" s="16" t="s">
        <v>227</v>
      </c>
      <c r="B76" s="193">
        <f>SUM(B77:B78)</f>
        <v>0</v>
      </c>
      <c r="C76" s="193">
        <f>SUM(C77:C78)</f>
        <v>0</v>
      </c>
      <c r="D76" s="26" t="str">
        <f t="shared" si="2"/>
        <v>   </v>
      </c>
      <c r="E76" s="49">
        <f t="shared" si="1"/>
        <v>0</v>
      </c>
    </row>
    <row r="77" spans="1:5" ht="12.75">
      <c r="A77" s="47" t="s">
        <v>235</v>
      </c>
      <c r="B77" s="25">
        <v>0</v>
      </c>
      <c r="C77" s="25"/>
      <c r="D77" s="26" t="str">
        <f t="shared" si="2"/>
        <v>   </v>
      </c>
      <c r="E77" s="49">
        <f t="shared" si="1"/>
        <v>0</v>
      </c>
    </row>
    <row r="78" spans="1:5" ht="12.75">
      <c r="A78" s="47" t="s">
        <v>236</v>
      </c>
      <c r="B78" s="25">
        <v>0</v>
      </c>
      <c r="C78" s="25"/>
      <c r="D78" s="26" t="str">
        <f t="shared" si="2"/>
        <v>   </v>
      </c>
      <c r="E78" s="49">
        <f t="shared" si="1"/>
        <v>0</v>
      </c>
    </row>
    <row r="79" spans="1:5" ht="25.5">
      <c r="A79" s="16" t="s">
        <v>226</v>
      </c>
      <c r="B79" s="193">
        <f>SUM(B80:B81)</f>
        <v>0</v>
      </c>
      <c r="C79" s="193">
        <f>SUM(C80:C81)</f>
        <v>0</v>
      </c>
      <c r="D79" s="26" t="str">
        <f t="shared" si="2"/>
        <v>   </v>
      </c>
      <c r="E79" s="49">
        <f t="shared" si="1"/>
        <v>0</v>
      </c>
    </row>
    <row r="80" spans="1:5" ht="12.75">
      <c r="A80" s="47" t="s">
        <v>235</v>
      </c>
      <c r="B80" s="25">
        <v>0</v>
      </c>
      <c r="C80" s="25"/>
      <c r="D80" s="26" t="str">
        <f t="shared" si="2"/>
        <v>   </v>
      </c>
      <c r="E80" s="49">
        <f t="shared" si="1"/>
        <v>0</v>
      </c>
    </row>
    <row r="81" spans="1:5" ht="12.75">
      <c r="A81" s="47" t="s">
        <v>236</v>
      </c>
      <c r="B81" s="25">
        <v>0</v>
      </c>
      <c r="C81" s="25"/>
      <c r="D81" s="26" t="str">
        <f t="shared" si="2"/>
        <v>   </v>
      </c>
      <c r="E81" s="49">
        <f t="shared" si="1"/>
        <v>0</v>
      </c>
    </row>
    <row r="82" spans="1:5" ht="12.75">
      <c r="A82" s="119" t="s">
        <v>233</v>
      </c>
      <c r="B82" s="198">
        <f>SUM(B83:B85)</f>
        <v>0</v>
      </c>
      <c r="C82" s="198">
        <f>SUM(C83:C85)</f>
        <v>0</v>
      </c>
      <c r="D82" s="26" t="str">
        <f t="shared" si="2"/>
        <v>   </v>
      </c>
      <c r="E82" s="49">
        <f t="shared" si="1"/>
        <v>0</v>
      </c>
    </row>
    <row r="83" spans="1:5" ht="12.75">
      <c r="A83" s="47" t="s">
        <v>234</v>
      </c>
      <c r="B83" s="120">
        <v>0</v>
      </c>
      <c r="C83" s="120"/>
      <c r="D83" s="26" t="str">
        <f t="shared" si="2"/>
        <v>   </v>
      </c>
      <c r="E83" s="49">
        <f t="shared" si="1"/>
        <v>0</v>
      </c>
    </row>
    <row r="84" spans="1:5" ht="12.75">
      <c r="A84" s="47" t="s">
        <v>235</v>
      </c>
      <c r="B84" s="120">
        <v>0</v>
      </c>
      <c r="C84" s="120"/>
      <c r="D84" s="26" t="str">
        <f t="shared" si="2"/>
        <v>   </v>
      </c>
      <c r="E84" s="49">
        <f t="shared" si="1"/>
        <v>0</v>
      </c>
    </row>
    <row r="85" spans="1:5" ht="12.75">
      <c r="A85" s="47" t="s">
        <v>236</v>
      </c>
      <c r="B85" s="120">
        <v>0</v>
      </c>
      <c r="C85" s="120"/>
      <c r="D85" s="26" t="str">
        <f t="shared" si="2"/>
        <v>   </v>
      </c>
      <c r="E85" s="49">
        <f t="shared" si="1"/>
        <v>0</v>
      </c>
    </row>
    <row r="86" spans="1:5" ht="21.75" customHeight="1">
      <c r="A86" s="164" t="s">
        <v>19</v>
      </c>
      <c r="B86" s="168">
        <f>SUM(B39,B44,B46,B48,B52,B56,B57,B62,B64,)</f>
        <v>1945900</v>
      </c>
      <c r="C86" s="168">
        <f>SUM(C39,C44,C46,C48,C52,C56,C57,C62,C64,)</f>
        <v>250581.14</v>
      </c>
      <c r="D86" s="166">
        <f t="shared" si="2"/>
        <v>12.877390410606917</v>
      </c>
      <c r="E86" s="167">
        <f t="shared" si="1"/>
        <v>-1695318.8599999999</v>
      </c>
    </row>
    <row r="87" spans="1:5" ht="15.75" customHeight="1" thickBot="1">
      <c r="A87" s="98" t="s">
        <v>211</v>
      </c>
      <c r="B87" s="212">
        <f>B41+B59</f>
        <v>476900</v>
      </c>
      <c r="C87" s="212">
        <f>C41+C59</f>
        <v>68335.06</v>
      </c>
      <c r="D87" s="99">
        <f>IF(B87=0,"   ",C87/B87*100)</f>
        <v>14.329012371566366</v>
      </c>
      <c r="E87" s="100">
        <f t="shared" si="1"/>
        <v>-408564.94</v>
      </c>
    </row>
    <row r="88" spans="1:5" s="76" customFormat="1" ht="23.25" customHeight="1">
      <c r="A88" s="110" t="s">
        <v>251</v>
      </c>
      <c r="B88" s="110"/>
      <c r="C88" s="250"/>
      <c r="D88" s="250"/>
      <c r="E88" s="250"/>
    </row>
    <row r="89" spans="1:5" s="76" customFormat="1" ht="12" customHeight="1">
      <c r="A89" s="110" t="s">
        <v>250</v>
      </c>
      <c r="B89" s="110"/>
      <c r="C89" s="111" t="s">
        <v>252</v>
      </c>
      <c r="D89" s="112"/>
      <c r="E89" s="113"/>
    </row>
    <row r="90" spans="1:5" ht="12.75">
      <c r="A90" s="7"/>
      <c r="B90" s="7"/>
      <c r="C90" s="6"/>
      <c r="D90" s="7"/>
      <c r="E90" s="2"/>
    </row>
    <row r="91" spans="1:5" ht="12.75">
      <c r="A91" s="7"/>
      <c r="B91" s="7"/>
      <c r="C91" s="6"/>
      <c r="D91" s="7"/>
      <c r="E91" s="2"/>
    </row>
    <row r="92" spans="1:5" ht="12.75">
      <c r="A92" s="7"/>
      <c r="B92" s="7"/>
      <c r="C92" s="6"/>
      <c r="D92" s="7"/>
      <c r="E92" s="2"/>
    </row>
    <row r="93" spans="1:5" ht="12.75">
      <c r="A93" s="7"/>
      <c r="B93" s="7"/>
      <c r="C93" s="6"/>
      <c r="D93" s="7"/>
      <c r="E93" s="2"/>
    </row>
  </sheetData>
  <mergeCells count="2">
    <mergeCell ref="A1:E1"/>
    <mergeCell ref="C88:E88"/>
  </mergeCells>
  <printOptions/>
  <pageMargins left="0.7874015748031497" right="0.7874015748031497" top="0.5905511811023623" bottom="0.5118110236220472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7"/>
  <sheetViews>
    <sheetView tabSelected="1" workbookViewId="0" topLeftCell="A124">
      <selection activeCell="B56" sqref="B56"/>
    </sheetView>
  </sheetViews>
  <sheetFormatPr defaultColWidth="9.00390625" defaultRowHeight="12.75"/>
  <cols>
    <col min="1" max="1" width="55.375" style="0" customWidth="1"/>
    <col min="2" max="2" width="14.75390625" style="0" customWidth="1"/>
    <col min="3" max="3" width="15.875" style="0" customWidth="1"/>
    <col min="4" max="4" width="14.25390625" style="0" customWidth="1"/>
    <col min="5" max="5" width="15.125" style="0" customWidth="1"/>
  </cols>
  <sheetData>
    <row r="1" spans="1:5" ht="18">
      <c r="A1" s="252" t="s">
        <v>315</v>
      </c>
      <c r="B1" s="252"/>
      <c r="C1" s="252"/>
      <c r="D1" s="252"/>
      <c r="E1" s="252"/>
    </row>
    <row r="2" spans="1:5" ht="9.75" customHeight="1" thickBot="1">
      <c r="A2" s="4"/>
      <c r="B2" s="4"/>
      <c r="C2" s="53"/>
      <c r="D2" s="4"/>
      <c r="E2" s="4" t="s">
        <v>0</v>
      </c>
    </row>
    <row r="3" spans="1:5" ht="93" customHeight="1">
      <c r="A3" s="35" t="s">
        <v>1</v>
      </c>
      <c r="B3" s="19" t="s">
        <v>204</v>
      </c>
      <c r="C3" s="32" t="s">
        <v>307</v>
      </c>
      <c r="D3" s="19" t="s">
        <v>276</v>
      </c>
      <c r="E3" s="101" t="s">
        <v>277</v>
      </c>
    </row>
    <row r="4" spans="1:5" ht="12.75">
      <c r="A4" s="13">
        <v>1</v>
      </c>
      <c r="B4" s="97">
        <v>2</v>
      </c>
      <c r="C4" s="54">
        <v>3</v>
      </c>
      <c r="D4" s="29">
        <v>4</v>
      </c>
      <c r="E4" s="55">
        <v>5</v>
      </c>
    </row>
    <row r="5" spans="1:5" ht="15.75" customHeight="1">
      <c r="A5" s="22" t="s">
        <v>2</v>
      </c>
      <c r="B5" s="11"/>
      <c r="C5" s="56"/>
      <c r="D5" s="25"/>
      <c r="E5" s="57"/>
    </row>
    <row r="6" spans="1:5" ht="12.75">
      <c r="A6" s="17" t="s">
        <v>58</v>
      </c>
      <c r="B6" s="191">
        <f>SUM(B7)</f>
        <v>8492300</v>
      </c>
      <c r="C6" s="191">
        <f>SUM(C7)</f>
        <v>922595.3099999999</v>
      </c>
      <c r="D6" s="58">
        <f aca="true" t="shared" si="0" ref="D6:D22">IF(B6=0,"   ",C6/B6*100)</f>
        <v>10.863903889405696</v>
      </c>
      <c r="E6" s="59">
        <f aca="true" t="shared" si="1" ref="E6:E46">C6-B6</f>
        <v>-7569704.69</v>
      </c>
    </row>
    <row r="7" spans="1:5" ht="12.75">
      <c r="A7" s="16" t="s">
        <v>57</v>
      </c>
      <c r="B7" s="193">
        <f>Лист1!B9+Лист2!B7+Лист3!B7+Лист4!B8+Лист5!B8+Лист6!B8+Лист7!B8+Лист8!B8+Лист9!B8+Лист10!B8</f>
        <v>8492300</v>
      </c>
      <c r="C7" s="193">
        <f>Лист1!C9+Лист2!C7+Лист3!C7+Лист4!C8+Лист5!C8+Лист6!C8+Лист7!C8+Лист8!C8+Лист9!C8+Лист10!C8</f>
        <v>922595.3099999999</v>
      </c>
      <c r="D7" s="58">
        <f t="shared" si="0"/>
        <v>10.863903889405696</v>
      </c>
      <c r="E7" s="59">
        <f t="shared" si="1"/>
        <v>-7569704.69</v>
      </c>
    </row>
    <row r="8" spans="1:5" ht="12.75">
      <c r="A8" s="16" t="s">
        <v>7</v>
      </c>
      <c r="B8" s="193">
        <f>B9</f>
        <v>196700</v>
      </c>
      <c r="C8" s="193">
        <f>SUM(C9:C9)</f>
        <v>24075.839999999997</v>
      </c>
      <c r="D8" s="58">
        <f t="shared" si="0"/>
        <v>12.239877986781899</v>
      </c>
      <c r="E8" s="59">
        <f t="shared" si="1"/>
        <v>-172624.16</v>
      </c>
    </row>
    <row r="9" spans="1:5" ht="12.75">
      <c r="A9" s="16" t="s">
        <v>38</v>
      </c>
      <c r="B9" s="193">
        <f>Лист1!B16+Лист2!B9+Лист3!B9+Лист4!B10+Лист5!B10+Лист6!B10+Лист7!B10+Лист8!B10+Лист9!B10+Лист10!B10</f>
        <v>196700</v>
      </c>
      <c r="C9" s="193">
        <f>Лист1!C16+Лист2!C9+Лист3!C9+Лист4!C10+Лист5!C10+Лист6!C10+Лист7!C10+Лист8!C10+Лист9!C10+Лист10!C10</f>
        <v>24075.839999999997</v>
      </c>
      <c r="D9" s="58">
        <f t="shared" si="0"/>
        <v>12.239877986781899</v>
      </c>
      <c r="E9" s="59">
        <f t="shared" si="1"/>
        <v>-172624.16</v>
      </c>
    </row>
    <row r="10" spans="1:5" ht="12.75">
      <c r="A10" s="16" t="s">
        <v>9</v>
      </c>
      <c r="B10" s="193">
        <f>SUM(B11:B12)</f>
        <v>5893600</v>
      </c>
      <c r="C10" s="193">
        <f>SUM(C11:C12)</f>
        <v>643717.08</v>
      </c>
      <c r="D10" s="58">
        <f t="shared" si="0"/>
        <v>10.92230690918963</v>
      </c>
      <c r="E10" s="59">
        <f t="shared" si="1"/>
        <v>-5249882.92</v>
      </c>
    </row>
    <row r="11" spans="1:5" ht="12.75">
      <c r="A11" s="16" t="s">
        <v>39</v>
      </c>
      <c r="B11" s="193">
        <f>Лист1!B18+Лист2!B11+Лист3!B11+Лист4!B12+Лист5!B12+Лист6!B12+Лист7!B12+Лист8!B12+Лист9!B12+Лист10!B12</f>
        <v>963400</v>
      </c>
      <c r="C11" s="193">
        <f>Лист1!C18+Лист2!C11+Лист3!C11+Лист4!C12+Лист5!C12+Лист6!C12+Лист7!C12+Лист8!C12+Лист9!C12+Лист10!C12</f>
        <v>21334.950000000004</v>
      </c>
      <c r="D11" s="58">
        <f t="shared" si="0"/>
        <v>2.2145474361635875</v>
      </c>
      <c r="E11" s="59">
        <f t="shared" si="1"/>
        <v>-942065.05</v>
      </c>
    </row>
    <row r="12" spans="1:5" ht="12.75">
      <c r="A12" s="16" t="s">
        <v>10</v>
      </c>
      <c r="B12" s="193">
        <f>Лист1!B19+Лист2!B12+Лист3!B12+Лист4!B13+Лист5!B13+Лист6!B13+Лист7!B13+Лист8!B13+Лист9!B13+Лист10!B13</f>
        <v>4930200</v>
      </c>
      <c r="C12" s="193">
        <f>Лист1!C19+Лист2!C12+Лист3!C12+Лист4!C13+Лист5!C13+Лист6!C13+Лист7!C13+Лист8!C13+Лист9!C13+Лист10!C13</f>
        <v>622382.13</v>
      </c>
      <c r="D12" s="58">
        <f t="shared" si="0"/>
        <v>12.623871851040525</v>
      </c>
      <c r="E12" s="59">
        <f t="shared" si="1"/>
        <v>-4307817.87</v>
      </c>
    </row>
    <row r="13" spans="1:5" ht="38.25">
      <c r="A13" s="16" t="s">
        <v>138</v>
      </c>
      <c r="B13" s="193">
        <v>0</v>
      </c>
      <c r="C13" s="218">
        <f>Лист1!C20+Лист2!C13+Лист3!C13+Лист4!C14+Лист5!C14+Лист6!C14+Лист7!C14+Лист8!C14+Лист9!C14+Лист10!C14</f>
        <v>1365.8</v>
      </c>
      <c r="D13" s="58" t="str">
        <f t="shared" si="0"/>
        <v>   </v>
      </c>
      <c r="E13" s="59">
        <f t="shared" si="1"/>
        <v>1365.8</v>
      </c>
    </row>
    <row r="14" spans="1:5" ht="38.25">
      <c r="A14" s="16" t="s">
        <v>40</v>
      </c>
      <c r="B14" s="193">
        <f>SUM(B15:B16)</f>
        <v>1642400</v>
      </c>
      <c r="C14" s="191">
        <f>SUM(C15:C16)</f>
        <v>117112.80999999998</v>
      </c>
      <c r="D14" s="58">
        <f t="shared" si="0"/>
        <v>7.130589990258157</v>
      </c>
      <c r="E14" s="59">
        <f t="shared" si="1"/>
        <v>-1525287.19</v>
      </c>
    </row>
    <row r="15" spans="1:5" ht="12.75">
      <c r="A15" s="16" t="s">
        <v>41</v>
      </c>
      <c r="B15" s="193">
        <f>Лист1!B22+Лист2!B17+Лист3!B15+Лист4!B16+Лист5!B16+Лист6!B16+Лист7!B16+Лист8!B16+Лист9!B16+Лист10!B16</f>
        <v>1013100</v>
      </c>
      <c r="C15" s="193">
        <f>Лист1!C22+Лист2!C17+Лист3!C15+Лист4!C16+Лист5!C16+Лист6!C16+Лист7!C16+Лист8!C16+Лист9!C16+Лист10!C16</f>
        <v>78824.40999999999</v>
      </c>
      <c r="D15" s="58">
        <f t="shared" si="0"/>
        <v>7.780516237291481</v>
      </c>
      <c r="E15" s="59">
        <f t="shared" si="1"/>
        <v>-934275.59</v>
      </c>
    </row>
    <row r="16" spans="1:5" ht="25.5">
      <c r="A16" s="16" t="s">
        <v>42</v>
      </c>
      <c r="B16" s="193">
        <f>Лист1!B23+Лист2!B18+Лист3!B16+Лист4!B17+Лист5!B17+Лист6!B17+Лист7!B17+Лист8!B17+Лист9!B17+Лист10!B17</f>
        <v>629300</v>
      </c>
      <c r="C16" s="193">
        <f>Лист1!C23+Лист2!C18+Лист3!C16+Лист4!C17+Лист5!C17+Лист6!C17+Лист7!C17+Лист8!C17+Лист9!C17+Лист10!C17</f>
        <v>38288.399999999994</v>
      </c>
      <c r="D16" s="58">
        <f t="shared" si="0"/>
        <v>6.084284125218495</v>
      </c>
      <c r="E16" s="59">
        <f t="shared" si="1"/>
        <v>-591011.6</v>
      </c>
    </row>
    <row r="17" spans="1:5" ht="25.5">
      <c r="A17" s="16" t="s">
        <v>113</v>
      </c>
      <c r="B17" s="193">
        <f>SUM(B18)</f>
        <v>0</v>
      </c>
      <c r="C17" s="193">
        <f>SUM(C18)</f>
        <v>0</v>
      </c>
      <c r="D17" s="58" t="str">
        <f t="shared" si="0"/>
        <v>   </v>
      </c>
      <c r="E17" s="59">
        <f t="shared" si="1"/>
        <v>0</v>
      </c>
    </row>
    <row r="18" spans="1:5" ht="38.25">
      <c r="A18" s="16" t="s">
        <v>116</v>
      </c>
      <c r="B18" s="193">
        <f>Лист1!B24+Лист2!B19+Лист3!B17+Лист4!B18+Лист5!B18+Лист6!B18+Лист7!B21+Лист8!B18+Лист9!B18+Лист10!B18</f>
        <v>0</v>
      </c>
      <c r="C18" s="211">
        <f>Лист1!C24+Лист2!C19+Лист3!C17+Лист4!C18+Лист5!C18+Лист6!C18+Лист7!C21+Лист8!C18+Лист9!C18+Лист10!C18</f>
        <v>0</v>
      </c>
      <c r="D18" s="58" t="str">
        <f t="shared" si="0"/>
        <v>   </v>
      </c>
      <c r="E18" s="59">
        <f t="shared" si="1"/>
        <v>0</v>
      </c>
    </row>
    <row r="19" spans="1:5" ht="25.5">
      <c r="A19" s="16" t="s">
        <v>101</v>
      </c>
      <c r="B19" s="193">
        <f>SUM(B20)</f>
        <v>0</v>
      </c>
      <c r="C19" s="193">
        <f>SUM(C20)</f>
        <v>200505.31</v>
      </c>
      <c r="D19" s="58" t="str">
        <f t="shared" si="0"/>
        <v>   </v>
      </c>
      <c r="E19" s="59">
        <f t="shared" si="1"/>
        <v>200505.31</v>
      </c>
    </row>
    <row r="20" spans="1:5" ht="38.25">
      <c r="A20" s="16" t="s">
        <v>102</v>
      </c>
      <c r="B20" s="193">
        <f>Лист1!B26+Лист2!B15+Лист3!B19+Лист4!B20+Лист5!B19+Лист6!B20+Лист7!B19+Лист8!B20+Лист9!B20+Лист10!B20</f>
        <v>0</v>
      </c>
      <c r="C20" s="193">
        <f>Лист1!C26+Лист2!C15+Лист3!C19+Лист4!C20+Лист5!C19+Лист6!C20+Лист7!C19+Лист8!C20+Лист9!C20+Лист10!C20</f>
        <v>200505.31</v>
      </c>
      <c r="D20" s="58" t="str">
        <f t="shared" si="0"/>
        <v>   </v>
      </c>
      <c r="E20" s="59">
        <f t="shared" si="1"/>
        <v>200505.31</v>
      </c>
    </row>
    <row r="21" spans="1:5" ht="12.75">
      <c r="A21" s="16" t="s">
        <v>43</v>
      </c>
      <c r="B21" s="193">
        <f>Лист7!B25</f>
        <v>0</v>
      </c>
      <c r="C21" s="193">
        <f>Лист2!C23+Лист3!C23+Лист4!C24+Лист5!C24+Лист6!C23+Лист7!C25+Лист8!C24+Лист9!C21+Лист10!C23</f>
        <v>0</v>
      </c>
      <c r="D21" s="58" t="str">
        <f t="shared" si="0"/>
        <v>   </v>
      </c>
      <c r="E21" s="59">
        <f t="shared" si="1"/>
        <v>0</v>
      </c>
    </row>
    <row r="22" spans="1:5" ht="12.75">
      <c r="A22" s="16" t="s">
        <v>44</v>
      </c>
      <c r="B22" s="193">
        <f>B23+B24+B25</f>
        <v>0</v>
      </c>
      <c r="C22" s="193">
        <f>C23+C24+C25</f>
        <v>45765.270000000004</v>
      </c>
      <c r="D22" s="58" t="str">
        <f t="shared" si="0"/>
        <v>   </v>
      </c>
      <c r="E22" s="59">
        <f t="shared" si="1"/>
        <v>45765.270000000004</v>
      </c>
    </row>
    <row r="23" spans="1:5" ht="12.75">
      <c r="A23" s="16" t="s">
        <v>59</v>
      </c>
      <c r="B23" s="193">
        <v>0</v>
      </c>
      <c r="C23" s="193">
        <f>Лист3!C21+Лист7!C23+Лист8!C22+Лист4!C23+Лист9!C23</f>
        <v>24680.88</v>
      </c>
      <c r="D23" s="58"/>
      <c r="E23" s="59">
        <f t="shared" si="1"/>
        <v>24680.88</v>
      </c>
    </row>
    <row r="24" spans="1:5" ht="25.5">
      <c r="A24" s="16" t="s">
        <v>166</v>
      </c>
      <c r="B24" s="193">
        <f>Лист1!B30+Лист2!B21+Лист3!B21</f>
        <v>0</v>
      </c>
      <c r="C24" s="193">
        <f>Лист1!C30+Лист2!C21</f>
        <v>0</v>
      </c>
      <c r="D24" s="58"/>
      <c r="E24" s="59">
        <f t="shared" si="1"/>
        <v>0</v>
      </c>
    </row>
    <row r="25" spans="1:5" ht="12.75">
      <c r="A25" s="16" t="s">
        <v>66</v>
      </c>
      <c r="B25" s="193">
        <f>Лист1!B31+Лист2!B22+Лист3!B22+Лист4!B22+Лист5!B23+Лист6!B22+Лист7!B24+Лист8!B23+Лист9!B24+Лист10!B22</f>
        <v>0</v>
      </c>
      <c r="C25" s="218">
        <f>Лист1!C31+Лист2!C22+Лист3!C22+Лист4!C22+Лист5!C22+Лист6!C22+Лист7!C24+Лист8!C23+Лист9!C24+Лист10!C22</f>
        <v>21084.39</v>
      </c>
      <c r="D25" s="58" t="str">
        <f aca="true" t="shared" si="2" ref="D25:D85">IF(B25=0,"   ",C25/B25*100)</f>
        <v>   </v>
      </c>
      <c r="E25" s="59">
        <f t="shared" si="1"/>
        <v>21084.39</v>
      </c>
    </row>
    <row r="26" spans="1:5" ht="15.75">
      <c r="A26" s="164" t="s">
        <v>11</v>
      </c>
      <c r="B26" s="165">
        <f>SUM(B6,B8,B10,B13,B14,B17,B19,B22,+B21)</f>
        <v>16225000</v>
      </c>
      <c r="C26" s="165">
        <f>SUM(C6,C8,C10,C13,C14,C17,C19,C21,C22,)</f>
        <v>1955137.4200000002</v>
      </c>
      <c r="D26" s="139">
        <f t="shared" si="2"/>
        <v>12.050153590138676</v>
      </c>
      <c r="E26" s="140">
        <f t="shared" si="1"/>
        <v>-14269862.58</v>
      </c>
    </row>
    <row r="27" spans="1:5" ht="25.5">
      <c r="A27" s="17" t="s">
        <v>46</v>
      </c>
      <c r="B27" s="191">
        <f>Лист1!B35+Лист2!B25+Лист3!B25+Лист4!B26+Лист5!B26+Лист6!B25+Лист7!B27+Лист8!B27+Лист9!B27+Лист10!B25</f>
        <v>18278100</v>
      </c>
      <c r="C27" s="191">
        <f>Лист1!C35+Лист2!C25+Лист3!C25+Лист4!C26+Лист5!C26+Лист6!C25+Лист7!C27+Лист8!C27+Лист9!C27+Лист10!C25</f>
        <v>3193850</v>
      </c>
      <c r="D27" s="58">
        <f>IF(B27=0,"   ",C27/B27*100)</f>
        <v>17.473643321789464</v>
      </c>
      <c r="E27" s="59">
        <f t="shared" si="1"/>
        <v>-15084250</v>
      </c>
    </row>
    <row r="28" spans="1:5" ht="38.25">
      <c r="A28" s="17" t="s">
        <v>206</v>
      </c>
      <c r="B28" s="191">
        <f>Лист1!B36+Лист2!B26+Лист3!B26+Лист4!B27+Лист5!B27+Лист6!B26+Лист7!B28+Лист8!B28+Лист9!B28+Лист10!B26</f>
        <v>2300000</v>
      </c>
      <c r="C28" s="191">
        <f>Лист1!C36+Лист2!C26+Лист3!C26+Лист4!C27+Лист5!C27+Лист6!C26+Лист7!C28+Лист8!C28+Лист9!C28+Лист10!C26</f>
        <v>180000</v>
      </c>
      <c r="D28" s="58">
        <f>IF(B28=0,"   ",C28/B28*100)</f>
        <v>7.82608695652174</v>
      </c>
      <c r="E28" s="59">
        <f>C28-B28</f>
        <v>-2120000</v>
      </c>
    </row>
    <row r="29" spans="1:5" ht="12.75">
      <c r="A29" s="228" t="s">
        <v>190</v>
      </c>
      <c r="B29" s="215">
        <f>B31+B32+B34+B35+B33</f>
        <v>3334800</v>
      </c>
      <c r="C29" s="215">
        <f>C31+C32+C34+C35+C33</f>
        <v>0</v>
      </c>
      <c r="D29" s="58">
        <f>IF(B29=0,"   ",C29/B29*100)</f>
        <v>0</v>
      </c>
      <c r="E29" s="59">
        <f t="shared" si="1"/>
        <v>-3334800</v>
      </c>
    </row>
    <row r="30" spans="1:5" ht="12.75">
      <c r="A30" s="17" t="s">
        <v>191</v>
      </c>
      <c r="B30" s="191"/>
      <c r="C30" s="191"/>
      <c r="D30" s="58"/>
      <c r="E30" s="59"/>
    </row>
    <row r="31" spans="1:5" ht="25.5">
      <c r="A31" s="16" t="s">
        <v>103</v>
      </c>
      <c r="B31" s="211">
        <f>SUM(Лист1!B39+Лист2!B29+Лист3!B29+Лист4!B31+Лист5!B30+Лист7!B34+Лист8!B32+Лист9!B34+Лист10!B31+Лист6!B29)</f>
        <v>1356400</v>
      </c>
      <c r="C31" s="211">
        <f>Лист1!C39+Лист2!C29+Лист3!C29+Лист4!C31+Лист5!C30+Лист7!C34+Лист8!C32+Лист9!C34+Лист10!C31+Лист6!C29</f>
        <v>0</v>
      </c>
      <c r="D31" s="58">
        <f>IF(B31=0,"   ",C31/B31*100)</f>
        <v>0</v>
      </c>
      <c r="E31" s="59">
        <f>C31-B31</f>
        <v>-1356400</v>
      </c>
    </row>
    <row r="32" spans="1:5" ht="25.5">
      <c r="A32" s="16" t="s">
        <v>271</v>
      </c>
      <c r="B32" s="193">
        <f>Лист8!B31+Лист1!B42+Лист4!B32+Лист5!B31+Лист7!B35+Лист9!B32</f>
        <v>0</v>
      </c>
      <c r="C32" s="193">
        <f>Лист1!C42+Лист4!C32+Лист5!C31+Лист7!C35+Лист8!C31+Лист9!C32</f>
        <v>0</v>
      </c>
      <c r="D32" s="58" t="str">
        <f>IF(B32=0,"   ",C32/B32*100)</f>
        <v>   </v>
      </c>
      <c r="E32" s="59">
        <f>C32-B32</f>
        <v>0</v>
      </c>
    </row>
    <row r="33" spans="1:5" ht="63.75">
      <c r="A33" s="16" t="s">
        <v>275</v>
      </c>
      <c r="B33" s="193">
        <f>Лист8!B35</f>
        <v>0</v>
      </c>
      <c r="C33" s="193">
        <f>Лист8!C35</f>
        <v>0</v>
      </c>
      <c r="D33" s="58"/>
      <c r="E33" s="59"/>
    </row>
    <row r="34" spans="1:5" ht="51">
      <c r="A34" s="16" t="s">
        <v>110</v>
      </c>
      <c r="B34" s="211">
        <f>Лист1!B40+Лист3!B30+Лист4!B30+Лист5!B32+Лист8!B33+Лист9!B33+Лист10!B30</f>
        <v>0</v>
      </c>
      <c r="C34" s="211">
        <f>Лист3!C30+Лист4!C30+Лист5!C32+Лист8!C33+Лист9!C33+Лист10!C30</f>
        <v>0</v>
      </c>
      <c r="D34" s="58" t="str">
        <f>IF(B34=0,"   ",C34/B34*100)</f>
        <v>   </v>
      </c>
      <c r="E34" s="59">
        <f>C34-B34</f>
        <v>0</v>
      </c>
    </row>
    <row r="35" spans="1:5" ht="12.75">
      <c r="A35" s="16" t="s">
        <v>171</v>
      </c>
      <c r="B35" s="193">
        <f>B37+B38+B39+B40</f>
        <v>1978400</v>
      </c>
      <c r="C35" s="193">
        <f>C37+C38+C39+C40</f>
        <v>0</v>
      </c>
      <c r="D35" s="58">
        <f>IF(B35=0,"   ",C35/B35*100)</f>
        <v>0</v>
      </c>
      <c r="E35" s="59">
        <f>C35-B35</f>
        <v>-1978400</v>
      </c>
    </row>
    <row r="36" spans="1:5" ht="12.75">
      <c r="A36" s="16" t="s">
        <v>192</v>
      </c>
      <c r="B36" s="193"/>
      <c r="C36" s="193"/>
      <c r="D36" s="58"/>
      <c r="E36" s="59"/>
    </row>
    <row r="37" spans="1:5" s="76" customFormat="1" ht="25.5">
      <c r="A37" s="47" t="s">
        <v>193</v>
      </c>
      <c r="B37" s="207"/>
      <c r="C37" s="207"/>
      <c r="D37" s="83" t="str">
        <f>IF(B37=0,"   ",C37/B37*100)</f>
        <v>   </v>
      </c>
      <c r="E37" s="84">
        <f>C37-B37</f>
        <v>0</v>
      </c>
    </row>
    <row r="38" spans="1:5" s="76" customFormat="1" ht="51">
      <c r="A38" s="47" t="s">
        <v>195</v>
      </c>
      <c r="B38" s="207">
        <f>Лист1!B45+Лист2!B32+Лист3!B35+Лист4!B36+Лист5!B35+Лист6!B32+Лист8!B38+Лист9!B37+Лист10!B34+Лист7!B37</f>
        <v>1978400</v>
      </c>
      <c r="C38" s="207">
        <f>Лист1!C45+Лист2!C32+Лист3!C35+Лист4!C36+Лист5!C35+Лист6!C32+Лист8!C38+Лист9!C37+Лист10!C34+Лист7!C37</f>
        <v>0</v>
      </c>
      <c r="D38" s="83">
        <f>IF(B38=0,"   ",C38/B38*100)</f>
        <v>0</v>
      </c>
      <c r="E38" s="84">
        <f>C38-B38</f>
        <v>-1978400</v>
      </c>
    </row>
    <row r="39" spans="1:5" s="76" customFormat="1" ht="25.5">
      <c r="A39" s="47" t="s">
        <v>194</v>
      </c>
      <c r="B39" s="207">
        <v>0</v>
      </c>
      <c r="C39" s="207">
        <v>0</v>
      </c>
      <c r="D39" s="83" t="str">
        <f>IF(B39=0,"   ",C39/B39*100)</f>
        <v>   </v>
      </c>
      <c r="E39" s="84">
        <f>C39-B39</f>
        <v>0</v>
      </c>
    </row>
    <row r="40" spans="1:5" s="76" customFormat="1" ht="38.25">
      <c r="A40" s="47" t="s">
        <v>196</v>
      </c>
      <c r="B40" s="207">
        <f>Лист1!B44</f>
        <v>0</v>
      </c>
      <c r="C40" s="207">
        <f>Лист1!C44</f>
        <v>0</v>
      </c>
      <c r="D40" s="83" t="str">
        <f>IF(B40=0,"   ",C40/B40*100)</f>
        <v>   </v>
      </c>
      <c r="E40" s="84">
        <f>C40-B40</f>
        <v>0</v>
      </c>
    </row>
    <row r="41" spans="1:5" s="76" customFormat="1" ht="12.75">
      <c r="A41" s="228" t="s">
        <v>26</v>
      </c>
      <c r="B41" s="219">
        <f>B43+B44+B45</f>
        <v>1598100</v>
      </c>
      <c r="C41" s="207">
        <f>C43+C44+C45</f>
        <v>142400</v>
      </c>
      <c r="D41" s="83">
        <f>IF(B41=0,"   ",C41/B41*100)</f>
        <v>8.910581315311934</v>
      </c>
      <c r="E41" s="84">
        <f>C41-B41</f>
        <v>-1455700</v>
      </c>
    </row>
    <row r="42" spans="1:5" ht="12.75">
      <c r="A42" s="17" t="s">
        <v>191</v>
      </c>
      <c r="B42" s="191"/>
      <c r="C42" s="191"/>
      <c r="D42" s="58"/>
      <c r="E42" s="59"/>
    </row>
    <row r="43" spans="1:5" ht="51">
      <c r="A43" s="200" t="s">
        <v>67</v>
      </c>
      <c r="B43" s="225">
        <f>Лист1!B37+Лист2!B27+Лист3!B27+Лист4!B28+Лист5!B28+Лист6!B27+Лист7!B29+Лист8!B29+Лист9!B29+Лист10!B27</f>
        <v>854900</v>
      </c>
      <c r="C43" s="225">
        <f>Лист1!C37+Лист2!C27+Лист3!C27+Лист4!C28+Лист5!C28+Лист6!C27+Лист7!C29+Лист8!C29+Лист9!C29+Лист10!C27</f>
        <v>142400</v>
      </c>
      <c r="D43" s="202">
        <f>IF(B43=0,"   ",C43/B43*100)</f>
        <v>16.656918937887472</v>
      </c>
      <c r="E43" s="203">
        <f>C43-B43</f>
        <v>-712500</v>
      </c>
    </row>
    <row r="44" spans="1:5" ht="38.25">
      <c r="A44" s="16" t="s">
        <v>68</v>
      </c>
      <c r="B44" s="193">
        <f>Лист1!B38+Лист2!B28+Лист3!B28+Лист4!B29+Лист5!B29+Лист6!B28+Лист7!B31+Лист8!B30+Лист9!B30+Лист10!B28</f>
        <v>1300</v>
      </c>
      <c r="C44" s="193">
        <f>Лист1!C38+Лист2!C28+Лист3!C28+Лист4!C29+Лист5!C29+Лист6!C28+Лист7!C31+Лист8!C30+Лист9!C30+Лист10!C28</f>
        <v>0</v>
      </c>
      <c r="D44" s="58">
        <f>IF(B44=0,"   ",C44/B44*100)</f>
        <v>0</v>
      </c>
      <c r="E44" s="59">
        <f>C44-B44</f>
        <v>-1300</v>
      </c>
    </row>
    <row r="45" spans="1:5" ht="76.5">
      <c r="A45" s="16" t="s">
        <v>197</v>
      </c>
      <c r="B45" s="211">
        <f>Лист8!B34</f>
        <v>741900</v>
      </c>
      <c r="C45" s="211">
        <f>Лист8!C34</f>
        <v>0</v>
      </c>
      <c r="D45" s="58">
        <f t="shared" si="2"/>
        <v>0</v>
      </c>
      <c r="E45" s="59">
        <f t="shared" si="1"/>
        <v>-741900</v>
      </c>
    </row>
    <row r="46" spans="1:5" ht="12.75">
      <c r="A46" s="228" t="s">
        <v>198</v>
      </c>
      <c r="B46" s="211">
        <f>B48+B49</f>
        <v>52800</v>
      </c>
      <c r="C46" s="193">
        <f>C48+C49</f>
        <v>0</v>
      </c>
      <c r="D46" s="58">
        <f t="shared" si="2"/>
        <v>0</v>
      </c>
      <c r="E46" s="59">
        <f t="shared" si="1"/>
        <v>-52800</v>
      </c>
    </row>
    <row r="47" spans="1:5" ht="12.75">
      <c r="A47" s="17" t="s">
        <v>191</v>
      </c>
      <c r="B47" s="191"/>
      <c r="C47" s="191"/>
      <c r="D47" s="58"/>
      <c r="E47" s="59"/>
    </row>
    <row r="48" spans="1:5" ht="63.75">
      <c r="A48" s="16" t="s">
        <v>128</v>
      </c>
      <c r="B48" s="211">
        <v>0</v>
      </c>
      <c r="C48" s="193">
        <f>Лист3!C33+Лист5!C36+Лист6!C34+Лист7!C33+Лист8!C34+Лист9!C39+Лист10!C35</f>
        <v>0</v>
      </c>
      <c r="D48" s="58" t="str">
        <f>IF(B48=0,"   ",C48/B48*100)</f>
        <v>   </v>
      </c>
      <c r="E48" s="59">
        <f>C48-B48</f>
        <v>0</v>
      </c>
    </row>
    <row r="49" spans="1:5" ht="51">
      <c r="A49" s="200" t="s">
        <v>149</v>
      </c>
      <c r="B49" s="225">
        <f>Лист1!B41+Лист2!B30+Лист3!B32+Лист4!B34+Лист5!B33+Лист6!B30+Лист7!B36+Лист8!B36+Лист9!B35+Лист10!B32</f>
        <v>52800</v>
      </c>
      <c r="C49" s="225">
        <f>Лист1!C41+Лист2!C30+Лист3!C32+Лист4!C34+Лист5!C33+Лист6!C30+Лист7!C36+Лист8!C36+Лист9!C35+Лист10!C32</f>
        <v>0</v>
      </c>
      <c r="D49" s="202">
        <f>IF(B49=0,"   ",C49/B49*100)</f>
        <v>0</v>
      </c>
      <c r="E49" s="203">
        <f>C49-B49</f>
        <v>-52800</v>
      </c>
    </row>
    <row r="50" spans="1:5" ht="25.5">
      <c r="A50" s="229" t="s">
        <v>117</v>
      </c>
      <c r="B50" s="193">
        <f>Лист8!B26</f>
        <v>0</v>
      </c>
      <c r="C50" s="193">
        <f>Лист8!C26</f>
        <v>0</v>
      </c>
      <c r="D50" s="202" t="str">
        <f>IF(B50=0,"   ",C50/B50*100)</f>
        <v>   </v>
      </c>
      <c r="E50" s="59"/>
    </row>
    <row r="51" spans="1:5" ht="12.75">
      <c r="A51" s="137" t="s">
        <v>163</v>
      </c>
      <c r="B51" s="168">
        <f>B27+B28+B29+B41+B46+B50</f>
        <v>25563800</v>
      </c>
      <c r="C51" s="168">
        <f>C27+C28+C29+C41+C46+C50</f>
        <v>3516250</v>
      </c>
      <c r="D51" s="226">
        <f t="shared" si="2"/>
        <v>13.754801711795587</v>
      </c>
      <c r="E51" s="227">
        <f aca="true" t="shared" si="3" ref="E51:E82">C51-B51</f>
        <v>-22047550</v>
      </c>
    </row>
    <row r="52" spans="1:5" ht="18.75" customHeight="1">
      <c r="A52" s="164" t="s">
        <v>14</v>
      </c>
      <c r="B52" s="165">
        <f>B26+B51</f>
        <v>41788800</v>
      </c>
      <c r="C52" s="165">
        <f>C26+C51</f>
        <v>5471387.42</v>
      </c>
      <c r="D52" s="139">
        <f t="shared" si="2"/>
        <v>13.09295174783674</v>
      </c>
      <c r="E52" s="140">
        <f t="shared" si="3"/>
        <v>-36317412.58</v>
      </c>
    </row>
    <row r="53" spans="1:5" ht="25.5">
      <c r="A53" s="30" t="s">
        <v>64</v>
      </c>
      <c r="B53" s="193"/>
      <c r="C53" s="193"/>
      <c r="D53" s="58" t="str">
        <f t="shared" si="2"/>
        <v>   </v>
      </c>
      <c r="E53" s="59">
        <f t="shared" si="3"/>
        <v>0</v>
      </c>
    </row>
    <row r="54" spans="1:5" ht="12.75">
      <c r="A54" s="22" t="s">
        <v>15</v>
      </c>
      <c r="B54" s="220"/>
      <c r="C54" s="221"/>
      <c r="D54" s="58" t="str">
        <f t="shared" si="2"/>
        <v>   </v>
      </c>
      <c r="E54" s="59">
        <f t="shared" si="3"/>
        <v>0</v>
      </c>
    </row>
    <row r="55" spans="1:5" ht="12.75">
      <c r="A55" s="16" t="s">
        <v>48</v>
      </c>
      <c r="B55" s="211">
        <f>Лист1!B63+Лист2!B36+Лист3!B38+Лист4!B39+Лист5!B40+Лист6!B37+Лист7!B41+Лист8!B42+Лист9!B42+Лист10!B39</f>
        <v>9197000</v>
      </c>
      <c r="C55" s="211">
        <f>Лист1!C63+Лист2!C36+Лист3!C38+Лист4!C39+Лист5!C40+Лист6!C37+Лист7!C41+Лист8!C42+Лист9!C42+Лист10!C39</f>
        <v>857257.7699999999</v>
      </c>
      <c r="D55" s="58">
        <f t="shared" si="2"/>
        <v>9.321058714798303</v>
      </c>
      <c r="E55" s="59">
        <f t="shared" si="3"/>
        <v>-8339742.23</v>
      </c>
    </row>
    <row r="56" spans="1:5" ht="25.5" customHeight="1">
      <c r="A56" s="16" t="s">
        <v>49</v>
      </c>
      <c r="B56" s="211">
        <f>Лист1!B64+Лист2!B37+Лист3!B39+Лист4!B40+Лист5!B41+Лист6!B38+Лист7!B42+Лист8!B43+Лист9!B43+Лист10!B40</f>
        <v>8677500</v>
      </c>
      <c r="C56" s="211">
        <f>Лист1!C64+Лист2!C37+Лист3!C39+Лист4!C40+Лист5!C41+Лист6!C38+Лист7!C42+Лист8!C43+Лист9!C43+Лист10!C40</f>
        <v>837850.3899999999</v>
      </c>
      <c r="D56" s="58">
        <f t="shared" si="2"/>
        <v>9.655435205992509</v>
      </c>
      <c r="E56" s="59">
        <f t="shared" si="3"/>
        <v>-7839649.61</v>
      </c>
    </row>
    <row r="57" spans="1:5" ht="12.75">
      <c r="A57" s="16" t="s">
        <v>208</v>
      </c>
      <c r="B57" s="211">
        <f>Лист1!B65+Лист2!B38+Лист3!B40+Лист4!B41+Лист5!B42+Лист6!B39+Лист7!B43+Лист8!B44+Лист9!B44+Лист10!B41</f>
        <v>5529078</v>
      </c>
      <c r="C57" s="211">
        <f>Лист1!C65+Лист2!C38+Лист3!C40+Лист4!C41+Лист5!C42+Лист6!C39+Лист7!C43+Лист8!C44+Лист9!C44+Лист10!C41</f>
        <v>606042.8600000001</v>
      </c>
      <c r="D57" s="58">
        <f t="shared" si="2"/>
        <v>10.961011221039026</v>
      </c>
      <c r="E57" s="59">
        <f t="shared" si="3"/>
        <v>-4923035.14</v>
      </c>
    </row>
    <row r="58" spans="1:5" ht="38.25">
      <c r="A58" s="16" t="s">
        <v>199</v>
      </c>
      <c r="B58" s="211">
        <f>Лист1!B66+Лист2!B39+Лист3!B41+Лист4!B42+Лист5!B43+Лист6!B40+Лист7!B44+Лист8!B45+Лист9!B45+Лист10!B42</f>
        <v>1300</v>
      </c>
      <c r="C58" s="211">
        <f>Лист1!C66+Лист2!C39+Лист3!C41+Лист4!C42+Лист5!C43+Лист6!C40+Лист7!C44+Лист8!C45+Лист9!C45+Лист10!C42</f>
        <v>0</v>
      </c>
      <c r="D58" s="58">
        <f t="shared" si="2"/>
        <v>0</v>
      </c>
      <c r="E58" s="59">
        <f t="shared" si="3"/>
        <v>-1300</v>
      </c>
    </row>
    <row r="59" spans="1:5" ht="12.75">
      <c r="A59" s="16" t="s">
        <v>141</v>
      </c>
      <c r="B59" s="211">
        <f>Лист1!B67+Лист2!B40+Лист3!B42+Лист4!B43+Лист5!B44+Лист6!B41+Лист7!B46+Лист8!B46+Лист9!B46+Лист10!B43</f>
        <v>4500</v>
      </c>
      <c r="C59" s="211">
        <f>Лист1!C67+Лист2!C40+Лист3!C42+Лист4!C43+Лист5!C44+Лист6!C41+Лист7!C46+Лист8!C46+Лист9!C46+Лист10!C43</f>
        <v>0</v>
      </c>
      <c r="D59" s="58">
        <f t="shared" si="2"/>
        <v>0</v>
      </c>
      <c r="E59" s="59">
        <f t="shared" si="3"/>
        <v>-4500</v>
      </c>
    </row>
    <row r="60" spans="1:5" ht="12.75">
      <c r="A60" s="16" t="s">
        <v>69</v>
      </c>
      <c r="B60" s="222">
        <f>B61</f>
        <v>151502</v>
      </c>
      <c r="C60" s="222">
        <f>C61</f>
        <v>19407.38</v>
      </c>
      <c r="D60" s="58">
        <f t="shared" si="2"/>
        <v>12.809982706498923</v>
      </c>
      <c r="E60" s="59">
        <f t="shared" si="3"/>
        <v>-132094.62</v>
      </c>
    </row>
    <row r="61" spans="1:5" ht="25.5">
      <c r="A61" s="16" t="s">
        <v>136</v>
      </c>
      <c r="B61" s="211">
        <f>Лист1!B69+Лист2!B41+Лист3!B44+Лист7!B48+Лист8!B48+Лист9!B48</f>
        <v>151502</v>
      </c>
      <c r="C61" s="211">
        <f>Лист1!C69+Лист2!C41+Лист3!C44+Лист7!C48+Лист8!C48+Лист9!C48</f>
        <v>19407.38</v>
      </c>
      <c r="D61" s="58">
        <f t="shared" si="2"/>
        <v>12.809982706498923</v>
      </c>
      <c r="E61" s="59">
        <f t="shared" si="3"/>
        <v>-132094.62</v>
      </c>
    </row>
    <row r="62" spans="1:5" ht="12.75">
      <c r="A62" s="16" t="s">
        <v>65</v>
      </c>
      <c r="B62" s="222">
        <f>SUM(B63)</f>
        <v>854900</v>
      </c>
      <c r="C62" s="222">
        <f>SUM(C63)</f>
        <v>70531.17000000001</v>
      </c>
      <c r="D62" s="58">
        <f t="shared" si="2"/>
        <v>8.250224587671076</v>
      </c>
      <c r="E62" s="59">
        <f t="shared" si="3"/>
        <v>-784368.83</v>
      </c>
    </row>
    <row r="63" spans="1:5" ht="25.5">
      <c r="A63" s="16" t="s">
        <v>176</v>
      </c>
      <c r="B63" s="211">
        <f>Лист1!B71+Лист2!B43+Лист3!B46+Лист4!B45+Лист5!B46+Лист6!B43+Лист7!B51+Лист8!B50+Лист9!B50+Лист10!B45</f>
        <v>854900</v>
      </c>
      <c r="C63" s="211">
        <f>Лист1!C71+Лист2!C43+Лист3!C46+Лист4!C45+Лист5!C46+Лист6!C43+Лист7!C51+Лист8!C50+Лист9!C50+Лист10!C45</f>
        <v>70531.17000000001</v>
      </c>
      <c r="D63" s="58">
        <f t="shared" si="2"/>
        <v>8.250224587671076</v>
      </c>
      <c r="E63" s="59">
        <f t="shared" si="3"/>
        <v>-784368.83</v>
      </c>
    </row>
    <row r="64" spans="1:5" ht="25.5">
      <c r="A64" s="16" t="s">
        <v>50</v>
      </c>
      <c r="B64" s="211">
        <f>Лист1!B72+Лист2!B44+Лист3!B47+Лист4!B46+Лист5!B47+Лист6!B44+Лист7!B52+Лист8!B51+Лист9!B51+Лист10!B46</f>
        <v>248500</v>
      </c>
      <c r="C64" s="211">
        <f>Лист1!C72+Лист2!C44+Лист3!C47+Лист4!C46+Лист5!C47+Лист6!C44+Лист7!C52+Лист8!C51+Лист9!C51+Лист10!C46</f>
        <v>15494.84</v>
      </c>
      <c r="D64" s="58">
        <f t="shared" si="2"/>
        <v>6.235348088531188</v>
      </c>
      <c r="E64" s="59">
        <f t="shared" si="3"/>
        <v>-233005.16</v>
      </c>
    </row>
    <row r="65" spans="1:5" ht="38.25">
      <c r="A65" s="16" t="s">
        <v>125</v>
      </c>
      <c r="B65" s="222">
        <f>Лист7!B53</f>
        <v>1800000</v>
      </c>
      <c r="C65" s="222">
        <f>Лист7!C53</f>
        <v>15494.84</v>
      </c>
      <c r="D65" s="58">
        <f t="shared" si="2"/>
        <v>0.8608244444444444</v>
      </c>
      <c r="E65" s="59">
        <f t="shared" si="3"/>
        <v>-1784505.16</v>
      </c>
    </row>
    <row r="66" spans="1:5" ht="12.75">
      <c r="A66" s="16" t="s">
        <v>142</v>
      </c>
      <c r="B66" s="211">
        <f>Лист7!B54</f>
        <v>180000</v>
      </c>
      <c r="C66" s="211">
        <f>Лист7!C54</f>
        <v>15494.84</v>
      </c>
      <c r="D66" s="58">
        <f t="shared" si="2"/>
        <v>8.608244444444445</v>
      </c>
      <c r="E66" s="59">
        <f t="shared" si="3"/>
        <v>-164505.16</v>
      </c>
    </row>
    <row r="67" spans="1:5" ht="12.75">
      <c r="A67" s="118" t="s">
        <v>208</v>
      </c>
      <c r="B67" s="211">
        <f>Лист7!B55</f>
        <v>129926</v>
      </c>
      <c r="C67" s="211">
        <f>Лист7!C55</f>
        <v>11132.72</v>
      </c>
      <c r="D67" s="26">
        <f t="shared" si="2"/>
        <v>8.568508227760416</v>
      </c>
      <c r="E67" s="49">
        <f t="shared" si="3"/>
        <v>-118793.28</v>
      </c>
    </row>
    <row r="68" spans="1:5" ht="12.75">
      <c r="A68" s="16" t="s">
        <v>143</v>
      </c>
      <c r="B68" s="211">
        <f>Лист1!B73+Лист2!B45+Лист3!B48+Лист4!B47+Лист5!B48+Лист6!B45+Лист7!B56+Лист8!B52+Лист9!B52+Лист10!B47</f>
        <v>68500</v>
      </c>
      <c r="C68" s="211">
        <f>Лист1!C73+Лист2!C45+Лист3!C48+Лист4!C47+Лист5!C48+Лист6!C45+Лист7!C56+Лист8!C52+Лист9!C52+Лист10!C47</f>
        <v>0</v>
      </c>
      <c r="D68" s="58">
        <f t="shared" si="2"/>
        <v>0</v>
      </c>
      <c r="E68" s="59">
        <f t="shared" si="3"/>
        <v>-68500</v>
      </c>
    </row>
    <row r="69" spans="1:5" ht="12.75">
      <c r="A69" s="16" t="s">
        <v>51</v>
      </c>
      <c r="B69" s="218">
        <f>B70+B73</f>
        <v>3778400</v>
      </c>
      <c r="C69" s="218">
        <f>C70+C73</f>
        <v>95671</v>
      </c>
      <c r="D69" s="58">
        <f t="shared" si="2"/>
        <v>2.532050603430023</v>
      </c>
      <c r="E69" s="59">
        <f t="shared" si="3"/>
        <v>-3682729</v>
      </c>
    </row>
    <row r="70" spans="1:5" ht="12.75">
      <c r="A70" s="145" t="s">
        <v>287</v>
      </c>
      <c r="B70" s="218">
        <f>B71+B72</f>
        <v>3778400</v>
      </c>
      <c r="C70" s="218">
        <f>C71+C72</f>
        <v>95671</v>
      </c>
      <c r="D70" s="58"/>
      <c r="E70" s="59"/>
    </row>
    <row r="71" spans="1:5" ht="38.25">
      <c r="A71" s="91" t="s">
        <v>288</v>
      </c>
      <c r="B71" s="218">
        <f>Лист1!B76+Лист2!B48+Лист3!B51+Лист4!B50+Лист5!B51+Лист6!B48+Лист7!B59+Лист8!B55+Лист9!B55+Лист10!B50</f>
        <v>1978400</v>
      </c>
      <c r="C71" s="218">
        <f>Лист1!C76+Лист2!C48+Лист3!C51+Лист4!C50+Лист5!C51+Лист6!C48+Лист7!C59+Лист8!C55+Лист9!C55+Лист10!C50</f>
        <v>0</v>
      </c>
      <c r="D71" s="58"/>
      <c r="E71" s="59"/>
    </row>
    <row r="72" spans="1:5" ht="38.25">
      <c r="A72" s="91" t="s">
        <v>289</v>
      </c>
      <c r="B72" s="218">
        <f>Лист1!B77+Лист2!B49+Лист3!B52+Лист4!B51+Лист5!B52+Лист6!B49+Лист7!B60+Лист8!B56+Лист9!B56+Лист10!B51</f>
        <v>1800000</v>
      </c>
      <c r="C72" s="218">
        <f>Лист1!C77+Лист2!C49+Лист3!C52+Лист4!C51+Лист5!C52+Лист6!C49+Лист7!C60+Лист8!C56+Лист9!C56+Лист10!C51</f>
        <v>95671</v>
      </c>
      <c r="D72" s="58"/>
      <c r="E72" s="59"/>
    </row>
    <row r="73" spans="1:5" ht="25.5">
      <c r="A73" s="16" t="s">
        <v>156</v>
      </c>
      <c r="B73" s="193">
        <f>B74+B75+B76</f>
        <v>0</v>
      </c>
      <c r="C73" s="193">
        <f>C74+C75+C76</f>
        <v>0</v>
      </c>
      <c r="D73" s="26" t="str">
        <f t="shared" si="2"/>
        <v>   </v>
      </c>
      <c r="E73" s="49">
        <f t="shared" si="3"/>
        <v>0</v>
      </c>
    </row>
    <row r="74" spans="1:5" ht="12.75">
      <c r="A74" s="16" t="s">
        <v>157</v>
      </c>
      <c r="B74" s="193">
        <v>0</v>
      </c>
      <c r="C74" s="193">
        <v>0</v>
      </c>
      <c r="D74" s="26" t="str">
        <f t="shared" si="2"/>
        <v>   </v>
      </c>
      <c r="E74" s="49">
        <f t="shared" si="3"/>
        <v>0</v>
      </c>
    </row>
    <row r="75" spans="1:5" ht="12.75" customHeight="1">
      <c r="A75" s="16" t="s">
        <v>158</v>
      </c>
      <c r="B75" s="193">
        <v>0</v>
      </c>
      <c r="C75" s="193">
        <v>0</v>
      </c>
      <c r="D75" s="26" t="str">
        <f t="shared" si="2"/>
        <v>   </v>
      </c>
      <c r="E75" s="49">
        <f t="shared" si="3"/>
        <v>0</v>
      </c>
    </row>
    <row r="76" spans="1:5" ht="12.75" customHeight="1">
      <c r="A76" s="16" t="s">
        <v>200</v>
      </c>
      <c r="B76" s="193">
        <v>0</v>
      </c>
      <c r="C76" s="193">
        <v>0</v>
      </c>
      <c r="D76" s="26" t="str">
        <f t="shared" si="2"/>
        <v>   </v>
      </c>
      <c r="E76" s="49">
        <f t="shared" si="3"/>
        <v>0</v>
      </c>
    </row>
    <row r="77" spans="1:5" ht="25.5">
      <c r="A77" s="16" t="s">
        <v>61</v>
      </c>
      <c r="B77" s="193">
        <v>0</v>
      </c>
      <c r="C77" s="193">
        <v>0</v>
      </c>
      <c r="D77" s="58" t="str">
        <f t="shared" si="2"/>
        <v>   </v>
      </c>
      <c r="E77" s="59">
        <f t="shared" si="3"/>
        <v>0</v>
      </c>
    </row>
    <row r="78" spans="1:5" ht="12.75">
      <c r="A78" s="16" t="s">
        <v>160</v>
      </c>
      <c r="B78" s="222">
        <v>0</v>
      </c>
      <c r="C78" s="222">
        <v>0</v>
      </c>
      <c r="D78" s="58" t="str">
        <f t="shared" si="2"/>
        <v>   </v>
      </c>
      <c r="E78" s="59">
        <f t="shared" si="3"/>
        <v>0</v>
      </c>
    </row>
    <row r="79" spans="1:5" ht="25.5">
      <c r="A79" s="16" t="s">
        <v>159</v>
      </c>
      <c r="B79" s="211">
        <v>0</v>
      </c>
      <c r="C79" s="211">
        <v>0</v>
      </c>
      <c r="D79" s="58" t="str">
        <f t="shared" si="2"/>
        <v>   </v>
      </c>
      <c r="E79" s="59">
        <f t="shared" si="3"/>
        <v>0</v>
      </c>
    </row>
    <row r="80" spans="1:5" ht="12.75">
      <c r="A80" s="16" t="s">
        <v>157</v>
      </c>
      <c r="B80" s="211">
        <v>0</v>
      </c>
      <c r="C80" s="211">
        <v>0</v>
      </c>
      <c r="D80" s="58" t="str">
        <f t="shared" si="2"/>
        <v>   </v>
      </c>
      <c r="E80" s="59">
        <f t="shared" si="3"/>
        <v>0</v>
      </c>
    </row>
    <row r="81" spans="1:5" ht="12.75">
      <c r="A81" s="16" t="s">
        <v>158</v>
      </c>
      <c r="B81" s="211">
        <v>0</v>
      </c>
      <c r="C81" s="211">
        <v>0</v>
      </c>
      <c r="D81" s="58" t="str">
        <f t="shared" si="2"/>
        <v>   </v>
      </c>
      <c r="E81" s="59">
        <f t="shared" si="3"/>
        <v>0</v>
      </c>
    </row>
    <row r="82" spans="1:5" ht="25.5">
      <c r="A82" s="16" t="s">
        <v>200</v>
      </c>
      <c r="B82" s="211">
        <v>0</v>
      </c>
      <c r="C82" s="211">
        <v>0</v>
      </c>
      <c r="D82" s="58" t="str">
        <f t="shared" si="2"/>
        <v>   </v>
      </c>
      <c r="E82" s="59">
        <f t="shared" si="3"/>
        <v>0</v>
      </c>
    </row>
    <row r="83" spans="1:5" ht="24">
      <c r="A83" s="42" t="s">
        <v>164</v>
      </c>
      <c r="B83" s="211">
        <v>0</v>
      </c>
      <c r="C83" s="211">
        <v>0</v>
      </c>
      <c r="D83" s="58" t="str">
        <f t="shared" si="2"/>
        <v>   </v>
      </c>
      <c r="E83" s="59">
        <f aca="true" t="shared" si="4" ref="E83:E110">C83-B83</f>
        <v>0</v>
      </c>
    </row>
    <row r="84" spans="1:5" ht="12.75">
      <c r="A84" s="16" t="s">
        <v>16</v>
      </c>
      <c r="B84" s="211">
        <f>SUM(B85,B87,B94,)</f>
        <v>7212500</v>
      </c>
      <c r="C84" s="211">
        <f>SUM(C85,C87,C94,)</f>
        <v>996699.4</v>
      </c>
      <c r="D84" s="58">
        <f t="shared" si="2"/>
        <v>13.819055805892546</v>
      </c>
      <c r="E84" s="59">
        <f t="shared" si="4"/>
        <v>-6215800.6</v>
      </c>
    </row>
    <row r="85" spans="1:5" ht="12.75">
      <c r="A85" s="16" t="s">
        <v>17</v>
      </c>
      <c r="B85" s="211">
        <f>Лист7!B62+Лист9!B58</f>
        <v>746400</v>
      </c>
      <c r="C85" s="211">
        <f>Лист7!C62+Лист9!C58</f>
        <v>39382.48</v>
      </c>
      <c r="D85" s="58">
        <f t="shared" si="2"/>
        <v>5.276323687031083</v>
      </c>
      <c r="E85" s="59">
        <f t="shared" si="4"/>
        <v>-707017.52</v>
      </c>
    </row>
    <row r="86" spans="1:5" ht="12.75">
      <c r="A86" s="16" t="s">
        <v>132</v>
      </c>
      <c r="B86" s="211">
        <f>Лист7!B63+Лист9!B59+Лист1!B82</f>
        <v>746400</v>
      </c>
      <c r="C86" s="211">
        <f>Лист7!C63+Лист9!C59+Лист1!C81</f>
        <v>39382.48</v>
      </c>
      <c r="D86" s="58">
        <v>0</v>
      </c>
      <c r="E86" s="59">
        <f t="shared" si="4"/>
        <v>-707017.52</v>
      </c>
    </row>
    <row r="87" spans="1:5" ht="12.75">
      <c r="A87" s="16" t="s">
        <v>93</v>
      </c>
      <c r="B87" s="211">
        <f>SUM(B89:B92)</f>
        <v>840000</v>
      </c>
      <c r="C87" s="211">
        <f>C89+C90+C91+C92+C93</f>
        <v>164170</v>
      </c>
      <c r="D87" s="58">
        <f aca="true" t="shared" si="5" ref="D87:D141">IF(B87=0,"   ",C87/B87*100)</f>
        <v>19.544047619047618</v>
      </c>
      <c r="E87" s="59">
        <f t="shared" si="4"/>
        <v>-675830</v>
      </c>
    </row>
    <row r="88" spans="1:5" ht="12.75">
      <c r="A88" s="16" t="s">
        <v>94</v>
      </c>
      <c r="B88" s="211">
        <f>Лист7!B68</f>
        <v>420000</v>
      </c>
      <c r="C88" s="211">
        <f>Лист7!C68</f>
        <v>70000</v>
      </c>
      <c r="D88" s="58">
        <f t="shared" si="5"/>
        <v>16.666666666666664</v>
      </c>
      <c r="E88" s="59">
        <f t="shared" si="4"/>
        <v>-350000</v>
      </c>
    </row>
    <row r="89" spans="1:5" ht="78" customHeight="1">
      <c r="A89" s="16" t="s">
        <v>214</v>
      </c>
      <c r="B89" s="211">
        <f>Лист7!B69</f>
        <v>0</v>
      </c>
      <c r="C89" s="211">
        <f>Лист7!C69</f>
        <v>0</v>
      </c>
      <c r="D89" s="58">
        <v>0</v>
      </c>
      <c r="E89" s="59">
        <f>C89-B89</f>
        <v>0</v>
      </c>
    </row>
    <row r="90" spans="1:5" ht="76.5" customHeight="1">
      <c r="A90" s="16" t="s">
        <v>213</v>
      </c>
      <c r="B90" s="211">
        <f>Лист7!B70</f>
        <v>0</v>
      </c>
      <c r="C90" s="211">
        <f>Лист7!C70</f>
        <v>0</v>
      </c>
      <c r="D90" s="58">
        <v>0</v>
      </c>
      <c r="E90" s="59">
        <f>C90-B90</f>
        <v>0</v>
      </c>
    </row>
    <row r="91" spans="1:5" ht="12.75">
      <c r="A91" s="16" t="s">
        <v>95</v>
      </c>
      <c r="B91" s="211">
        <f>Лист3!B55+Лист7!B67+Лист6!B53</f>
        <v>840000</v>
      </c>
      <c r="C91" s="211">
        <f>Лист3!C55+Лист7!C67+Лист6!C53</f>
        <v>164170</v>
      </c>
      <c r="D91" s="58">
        <f t="shared" si="5"/>
        <v>19.544047619047618</v>
      </c>
      <c r="E91" s="59">
        <f t="shared" si="4"/>
        <v>-675830</v>
      </c>
    </row>
    <row r="92" spans="1:5" ht="12.75">
      <c r="A92" s="47" t="s">
        <v>162</v>
      </c>
      <c r="B92" s="211">
        <f>Лист1!B85</f>
        <v>0</v>
      </c>
      <c r="C92" s="211">
        <f>Лист1!C85</f>
        <v>0</v>
      </c>
      <c r="D92" s="58" t="str">
        <f t="shared" si="5"/>
        <v>   </v>
      </c>
      <c r="E92" s="59">
        <f t="shared" si="4"/>
        <v>0</v>
      </c>
    </row>
    <row r="93" spans="1:5" ht="12.75">
      <c r="A93" s="47" t="s">
        <v>175</v>
      </c>
      <c r="B93" s="211">
        <f>Лист1!B86</f>
        <v>0</v>
      </c>
      <c r="C93" s="211">
        <f>Лист1!C86</f>
        <v>0</v>
      </c>
      <c r="D93" s="58" t="str">
        <f t="shared" si="5"/>
        <v>   </v>
      </c>
      <c r="E93" s="59">
        <f t="shared" si="4"/>
        <v>0</v>
      </c>
    </row>
    <row r="94" spans="1:5" ht="12.75">
      <c r="A94" s="118" t="s">
        <v>96</v>
      </c>
      <c r="B94" s="211">
        <f>B95+B96+B97+B98+B99</f>
        <v>5626100</v>
      </c>
      <c r="C94" s="211">
        <f>C95+C96+C97+C98+C99</f>
        <v>793146.92</v>
      </c>
      <c r="D94" s="231">
        <f t="shared" si="5"/>
        <v>14.097632818471057</v>
      </c>
      <c r="E94" s="232">
        <f t="shared" si="4"/>
        <v>-4832953.08</v>
      </c>
    </row>
    <row r="95" spans="1:5" ht="12.75">
      <c r="A95" s="118" t="s">
        <v>81</v>
      </c>
      <c r="B95" s="211">
        <f>Лист1!B88+Лист2!B54+Лист3!B57+Лист4!B54+Лист5!B56+Лист6!B55+Лист7!B72+Лист8!B59+Лист9!B62+Лист10!B54</f>
        <v>3739200</v>
      </c>
      <c r="C95" s="211">
        <f>Лист1!C88+Лист2!C54+Лист3!C57+Лист4!C54+Лист5!C56+Лист6!C55+Лист7!C72+Лист8!C59+Лист9!C62+Лист10!C54</f>
        <v>695933.9600000001</v>
      </c>
      <c r="D95" s="231">
        <f t="shared" si="5"/>
        <v>18.61184103551562</v>
      </c>
      <c r="E95" s="232">
        <f t="shared" si="4"/>
        <v>-3043266.04</v>
      </c>
    </row>
    <row r="96" spans="1:5" ht="12.75">
      <c r="A96" s="118" t="s">
        <v>97</v>
      </c>
      <c r="B96" s="211">
        <f>Лист7!B73</f>
        <v>300000</v>
      </c>
      <c r="C96" s="211">
        <f>Лист7!C73</f>
        <v>0</v>
      </c>
      <c r="D96" s="231">
        <f t="shared" si="5"/>
        <v>0</v>
      </c>
      <c r="E96" s="232">
        <f t="shared" si="4"/>
        <v>-300000</v>
      </c>
    </row>
    <row r="97" spans="1:5" ht="12.75">
      <c r="A97" s="118" t="s">
        <v>98</v>
      </c>
      <c r="B97" s="211">
        <f>Лист7!B74</f>
        <v>100000</v>
      </c>
      <c r="C97" s="211">
        <f>Лист7!C74</f>
        <v>0</v>
      </c>
      <c r="D97" s="231">
        <f t="shared" si="5"/>
        <v>0</v>
      </c>
      <c r="E97" s="232">
        <f t="shared" si="4"/>
        <v>-100000</v>
      </c>
    </row>
    <row r="98" spans="1:5" ht="12.75">
      <c r="A98" s="118" t="s">
        <v>99</v>
      </c>
      <c r="B98" s="211">
        <f>Лист1!B89+Лист3!B58+Лист4!B55+Лист5!B57+Лист7!B75+Лист8!B60+Лист9!B63+Лист10!B55+Лист6!B56+Лист2!B55</f>
        <v>1486900</v>
      </c>
      <c r="C98" s="211">
        <f>Лист1!C89+Лист3!C58+Лист4!C55+Лист5!C57+Лист7!C75+Лист8!C60+Лист9!C63+Лист10!C55+Лист6!C56+Лист2!C55</f>
        <v>97212.96</v>
      </c>
      <c r="D98" s="231">
        <f t="shared" si="5"/>
        <v>6.537962203241644</v>
      </c>
      <c r="E98" s="232">
        <f t="shared" si="4"/>
        <v>-1389687.04</v>
      </c>
    </row>
    <row r="99" spans="1:5" ht="25.5">
      <c r="A99" s="16" t="s">
        <v>247</v>
      </c>
      <c r="B99" s="211">
        <f>Лист7!B76</f>
        <v>0</v>
      </c>
      <c r="C99" s="211">
        <f>Лист7!C76</f>
        <v>0</v>
      </c>
      <c r="D99" s="58"/>
      <c r="E99" s="59"/>
    </row>
    <row r="100" spans="1:5" ht="15">
      <c r="A100" s="18" t="s">
        <v>24</v>
      </c>
      <c r="B100" s="207">
        <f>Лист1!B90+Лист2!B56+Лист3!B59+Лист4!B56+Лист5!B58+Лист6!B59+Лист7!B77+Лист8!B61+Лист9!B64+Лист10!B56</f>
        <v>109000</v>
      </c>
      <c r="C100" s="207">
        <f>Лист1!C90+Лист2!C56+Лист3!C59+Лист4!C56+Лист5!C58+Лист6!C59+Лист7!C77+Лист8!C61+Лист9!C64+Лист10!C56</f>
        <v>0</v>
      </c>
      <c r="D100" s="58">
        <f t="shared" si="5"/>
        <v>0</v>
      </c>
      <c r="E100" s="59">
        <f t="shared" si="4"/>
        <v>-109000</v>
      </c>
    </row>
    <row r="101" spans="1:5" ht="25.5">
      <c r="A101" s="16" t="s">
        <v>54</v>
      </c>
      <c r="B101" s="191">
        <f>SUM(B102,)</f>
        <v>16037800</v>
      </c>
      <c r="C101" s="191">
        <f>C102</f>
        <v>2530412.24</v>
      </c>
      <c r="D101" s="58">
        <f t="shared" si="5"/>
        <v>15.777801444088343</v>
      </c>
      <c r="E101" s="59">
        <f t="shared" si="4"/>
        <v>-13507387.76</v>
      </c>
    </row>
    <row r="102" spans="1:5" ht="12.75">
      <c r="A102" s="16" t="s">
        <v>55</v>
      </c>
      <c r="B102" s="193">
        <f>Лист1!B92+Лист2!B58+Лист3!B61+Лист4!B58+Лист5!B60+Лист6!B61+Лист7!B79+Лист8!B63+Лист9!B66+Лист10!B58</f>
        <v>16037800</v>
      </c>
      <c r="C102" s="193">
        <f>Лист1!C92+Лист2!C58+Лист3!C61+Лист4!C58+Лист5!C60+Лист6!C61+Лист7!C79+Лист8!C63+Лист9!C66+Лист10!C58</f>
        <v>2530412.24</v>
      </c>
      <c r="D102" s="58">
        <f t="shared" si="5"/>
        <v>15.777801444088343</v>
      </c>
      <c r="E102" s="59">
        <f t="shared" si="4"/>
        <v>-13507387.76</v>
      </c>
    </row>
    <row r="103" spans="1:5" ht="12.75">
      <c r="A103" s="16" t="s">
        <v>208</v>
      </c>
      <c r="B103" s="211">
        <f>Лист1!B93+Лист2!B59+Лист3!B62+Лист4!B59+Лист5!B61+Лист6!B62+Лист7!B80+Лист8!B64+Лист9!B67+Лист10!B59</f>
        <v>0</v>
      </c>
      <c r="C103" s="211">
        <f>Лист1!C93+Лист2!C59+Лист3!C62+Лист4!C59+Лист5!C61+Лист6!C62+Лист7!C80+Лист8!C64+Лист9!C67+Лист10!C59</f>
        <v>0</v>
      </c>
      <c r="D103" s="58" t="str">
        <f t="shared" si="5"/>
        <v>   </v>
      </c>
      <c r="E103" s="59">
        <f t="shared" si="4"/>
        <v>0</v>
      </c>
    </row>
    <row r="104" spans="1:5" ht="25.5">
      <c r="A104" s="16" t="s">
        <v>172</v>
      </c>
      <c r="B104" s="193">
        <f>B105+B106+B107</f>
        <v>0</v>
      </c>
      <c r="C104" s="193">
        <f>C105+C106+C107</f>
        <v>0</v>
      </c>
      <c r="D104" s="26" t="str">
        <f t="shared" si="5"/>
        <v>   </v>
      </c>
      <c r="E104" s="49">
        <f t="shared" si="4"/>
        <v>0</v>
      </c>
    </row>
    <row r="105" spans="1:5" ht="12.75">
      <c r="A105" s="16" t="s">
        <v>173</v>
      </c>
      <c r="B105" s="193">
        <f>Лист3!B64+Лист1!B95</f>
        <v>0</v>
      </c>
      <c r="C105" s="193">
        <f>Лист3!C64+Лист1!C95</f>
        <v>0</v>
      </c>
      <c r="D105" s="26" t="str">
        <f t="shared" si="5"/>
        <v>   </v>
      </c>
      <c r="E105" s="49">
        <f t="shared" si="4"/>
        <v>0</v>
      </c>
    </row>
    <row r="106" spans="1:5" ht="13.5" customHeight="1">
      <c r="A106" s="16" t="s">
        <v>201</v>
      </c>
      <c r="B106" s="193">
        <f>Лист3!B65</f>
        <v>0</v>
      </c>
      <c r="C106" s="193">
        <f>Лист3!C65</f>
        <v>0</v>
      </c>
      <c r="D106" s="26" t="str">
        <f t="shared" si="5"/>
        <v>   </v>
      </c>
      <c r="E106" s="49">
        <f t="shared" si="4"/>
        <v>0</v>
      </c>
    </row>
    <row r="107" spans="1:5" ht="12.75">
      <c r="A107" s="16" t="s">
        <v>174</v>
      </c>
      <c r="B107" s="211">
        <f>Лист3!B66</f>
        <v>0</v>
      </c>
      <c r="C107" s="211">
        <f>Лист3!C66</f>
        <v>0</v>
      </c>
      <c r="D107" s="26" t="str">
        <f t="shared" si="5"/>
        <v>   </v>
      </c>
      <c r="E107" s="49">
        <f t="shared" si="4"/>
        <v>0</v>
      </c>
    </row>
    <row r="108" spans="1:5" ht="12.75">
      <c r="A108" s="16" t="s">
        <v>177</v>
      </c>
      <c r="B108" s="211">
        <f>Лист1!B94+Лист2!B60+Лист3!B67+Лист4!B60+Лист5!B62+Лист6!B63+Лист7!B81+Лист8!B65+Лист9!B68+Лист10!B60</f>
        <v>52800</v>
      </c>
      <c r="C108" s="211">
        <f>Лист1!C94+Лист2!C60+Лист3!C67+Лист4!C60+Лист5!C62+Лист6!C63+Лист7!C81+Лист8!C65+Лист9!C68+Лист10!C60</f>
        <v>6600</v>
      </c>
      <c r="D108" s="26">
        <f t="shared" si="5"/>
        <v>12.5</v>
      </c>
      <c r="E108" s="49">
        <f t="shared" si="4"/>
        <v>-46200</v>
      </c>
    </row>
    <row r="109" spans="1:5" ht="12.75">
      <c r="A109" s="16" t="s">
        <v>203</v>
      </c>
      <c r="B109" s="193">
        <f>Лист10!B61</f>
        <v>0</v>
      </c>
      <c r="C109" s="193">
        <f>Лист10!C61</f>
        <v>0</v>
      </c>
      <c r="D109" s="26" t="str">
        <f t="shared" si="5"/>
        <v>   </v>
      </c>
      <c r="E109" s="49">
        <f t="shared" si="4"/>
        <v>0</v>
      </c>
    </row>
    <row r="110" spans="1:5" ht="12.75">
      <c r="A110" s="16" t="s">
        <v>133</v>
      </c>
      <c r="B110" s="211">
        <f>SUM(B113,B114,B115,B122,B131)</f>
        <v>3936500</v>
      </c>
      <c r="C110" s="211">
        <f>SUM(C113,C114,C115,C122,C131)</f>
        <v>10000</v>
      </c>
      <c r="D110" s="58">
        <f t="shared" si="5"/>
        <v>0.2540327702273593</v>
      </c>
      <c r="E110" s="59">
        <f t="shared" si="4"/>
        <v>-3926500</v>
      </c>
    </row>
    <row r="111" spans="1:5" ht="25.5">
      <c r="A111" s="16" t="s">
        <v>165</v>
      </c>
      <c r="B111" s="193"/>
      <c r="C111" s="193"/>
      <c r="D111" s="58" t="str">
        <f t="shared" si="5"/>
        <v>   </v>
      </c>
      <c r="E111" s="59"/>
    </row>
    <row r="112" spans="1:5" ht="25.5">
      <c r="A112" s="16" t="s">
        <v>169</v>
      </c>
      <c r="B112" s="193"/>
      <c r="C112" s="193"/>
      <c r="D112" s="58" t="str">
        <f t="shared" si="5"/>
        <v>   </v>
      </c>
      <c r="E112" s="59"/>
    </row>
    <row r="113" spans="1:5" ht="12.75">
      <c r="A113" s="119" t="s">
        <v>151</v>
      </c>
      <c r="B113" s="198">
        <f>Лист7!B86</f>
        <v>15000</v>
      </c>
      <c r="C113" s="198">
        <f>Лист7!C86</f>
        <v>10000</v>
      </c>
      <c r="D113" s="58">
        <f t="shared" si="5"/>
        <v>66.66666666666666</v>
      </c>
      <c r="E113" s="59">
        <f aca="true" t="shared" si="6" ref="E113:E141">C113-B113</f>
        <v>-5000</v>
      </c>
    </row>
    <row r="114" spans="1:5" ht="33.75" customHeight="1">
      <c r="A114" s="119" t="s">
        <v>111</v>
      </c>
      <c r="B114" s="198">
        <f>Лист8!B86</f>
        <v>741900</v>
      </c>
      <c r="C114" s="198">
        <f>Лист8!C86</f>
        <v>0</v>
      </c>
      <c r="D114" s="58">
        <f t="shared" si="5"/>
        <v>0</v>
      </c>
      <c r="E114" s="59">
        <f t="shared" si="6"/>
        <v>-741900</v>
      </c>
    </row>
    <row r="115" spans="1:5" ht="28.5" customHeight="1">
      <c r="A115" s="119" t="s">
        <v>240</v>
      </c>
      <c r="B115" s="198">
        <f>SUM(B116,B119)</f>
        <v>0</v>
      </c>
      <c r="C115" s="198">
        <f>SUM(C116,C119)</f>
        <v>0</v>
      </c>
      <c r="D115" s="58" t="str">
        <f t="shared" si="5"/>
        <v>   </v>
      </c>
      <c r="E115" s="59">
        <f t="shared" si="6"/>
        <v>0</v>
      </c>
    </row>
    <row r="116" spans="1:5" ht="38.25" customHeight="1">
      <c r="A116" s="126" t="s">
        <v>227</v>
      </c>
      <c r="B116" s="219">
        <f>SUM(B117:B118)</f>
        <v>0</v>
      </c>
      <c r="C116" s="219">
        <f>SUM(C117:C118)</f>
        <v>0</v>
      </c>
      <c r="D116" s="58" t="str">
        <f t="shared" si="5"/>
        <v>   </v>
      </c>
      <c r="E116" s="59">
        <f t="shared" si="6"/>
        <v>0</v>
      </c>
    </row>
    <row r="117" spans="1:5" ht="15.75" customHeight="1">
      <c r="A117" s="126" t="s">
        <v>235</v>
      </c>
      <c r="B117" s="219">
        <f>SUM(Лист1!B111,Лист3!B83,Лист4!B76,Лист8!B77,Лист9!B90,Лист10!B77)</f>
        <v>0</v>
      </c>
      <c r="C117" s="219">
        <f>SUM(Лист1!C111,Лист3!C83,Лист4!C76,Лист8!C77,Лист9!C90,Лист10!C77)</f>
        <v>0</v>
      </c>
      <c r="D117" s="58" t="str">
        <f t="shared" si="5"/>
        <v>   </v>
      </c>
      <c r="E117" s="59">
        <f t="shared" si="6"/>
        <v>0</v>
      </c>
    </row>
    <row r="118" spans="1:5" ht="17.25" customHeight="1">
      <c r="A118" s="126" t="s">
        <v>236</v>
      </c>
      <c r="B118" s="219">
        <f>SUM(Лист1!B112,Лист3!B84,Лист4!B77,Лист8!B78,Лист9!B91,Лист10!B78)</f>
        <v>0</v>
      </c>
      <c r="C118" s="219">
        <f>SUM(Лист1!C112,Лист3!C84,Лист4!C77,Лист8!C78,,Лист10!C78)</f>
        <v>0</v>
      </c>
      <c r="D118" s="58" t="str">
        <f t="shared" si="5"/>
        <v>   </v>
      </c>
      <c r="E118" s="59">
        <f t="shared" si="6"/>
        <v>0</v>
      </c>
    </row>
    <row r="119" spans="1:5" ht="38.25" customHeight="1">
      <c r="A119" s="126" t="s">
        <v>226</v>
      </c>
      <c r="B119" s="219">
        <f>SUM(B120:B121)</f>
        <v>0</v>
      </c>
      <c r="C119" s="219">
        <f>SUM(C120:C121)</f>
        <v>0</v>
      </c>
      <c r="D119" s="58" t="str">
        <f t="shared" si="5"/>
        <v>   </v>
      </c>
      <c r="E119" s="59">
        <f t="shared" si="6"/>
        <v>0</v>
      </c>
    </row>
    <row r="120" spans="1:5" ht="15" customHeight="1">
      <c r="A120" s="126" t="s">
        <v>239</v>
      </c>
      <c r="B120" s="219">
        <f>Лист3!B86+Лист4!B79</f>
        <v>0</v>
      </c>
      <c r="C120" s="219">
        <f>Лист3!C86+Лист4!C79</f>
        <v>0</v>
      </c>
      <c r="D120" s="58" t="str">
        <f t="shared" si="5"/>
        <v>   </v>
      </c>
      <c r="E120" s="59">
        <f t="shared" si="6"/>
        <v>0</v>
      </c>
    </row>
    <row r="121" spans="1:5" ht="13.5" customHeight="1">
      <c r="A121" s="126" t="s">
        <v>238</v>
      </c>
      <c r="B121" s="219">
        <f>SUM(Лист1!B115,Лист3!B87,Лист4!B80,Лист8!B81,Лист10!B81)</f>
        <v>0</v>
      </c>
      <c r="C121" s="219">
        <v>0</v>
      </c>
      <c r="D121" s="58" t="str">
        <f t="shared" si="5"/>
        <v>   </v>
      </c>
      <c r="E121" s="59">
        <f t="shared" si="6"/>
        <v>0</v>
      </c>
    </row>
    <row r="122" spans="1:5" ht="33" customHeight="1">
      <c r="A122" s="119" t="s">
        <v>241</v>
      </c>
      <c r="B122" s="223">
        <f>SUM(B123,B127)</f>
        <v>1062100</v>
      </c>
      <c r="C122" s="223">
        <f>SUM(C123,C127)</f>
        <v>0</v>
      </c>
      <c r="D122" s="58" t="str">
        <f>IF(B124=0,"   ",C122/B124*100)</f>
        <v>   </v>
      </c>
      <c r="E122" s="59">
        <f t="shared" si="6"/>
        <v>-1062100</v>
      </c>
    </row>
    <row r="123" spans="1:5" ht="43.5" customHeight="1">
      <c r="A123" s="16" t="s">
        <v>227</v>
      </c>
      <c r="B123" s="224">
        <f>SUM(B124:B126)</f>
        <v>1062100</v>
      </c>
      <c r="C123" s="224">
        <f>SUM(C124:C126)</f>
        <v>0</v>
      </c>
      <c r="D123" s="58"/>
      <c r="E123" s="59">
        <f t="shared" si="6"/>
        <v>-1062100</v>
      </c>
    </row>
    <row r="124" spans="1:5" ht="16.5" customHeight="1">
      <c r="A124" s="47" t="s">
        <v>234</v>
      </c>
      <c r="B124" s="211">
        <f>SUM(Лист1!B102,Лист2!B67,Лист3!B74,Лист4!B67,Лист5!B69,Лист6!B70,Лист8!B72,Лист9!B79,Лист10!B68)</f>
        <v>0</v>
      </c>
      <c r="C124" s="211">
        <f>SUM(Лист1!C102,Лист2!C67,Лист3!C74,Лист4!C67,Лист5!C69,Лист6!C70,Лист8!C72,Лист9!C79,Лист10!C68)</f>
        <v>0</v>
      </c>
      <c r="D124" s="58">
        <f>IF(B125=0,"   ",C124/B125*100)</f>
        <v>0</v>
      </c>
      <c r="E124" s="59">
        <f t="shared" si="6"/>
        <v>0</v>
      </c>
    </row>
    <row r="125" spans="1:5" ht="17.25" customHeight="1">
      <c r="A125" s="47" t="s">
        <v>235</v>
      </c>
      <c r="B125" s="219">
        <f>SUM(Лист1!B103,Лист2!B68,Лист3!B75,Лист4!B68,Лист5!B70,Лист6!B71,Лист8!B73,Лист9!B82,Лист10!B69)</f>
        <v>307100</v>
      </c>
      <c r="C125" s="219">
        <f>SUM(Лист1!C103,Лист2!C68,Лист3!C75,Лист4!C68,Лист5!C70,Лист6!C71,Лист8!C73,Лист9!C82,Лист10!C69)</f>
        <v>0</v>
      </c>
      <c r="D125" s="58">
        <f t="shared" si="5"/>
        <v>0</v>
      </c>
      <c r="E125" s="59">
        <f t="shared" si="6"/>
        <v>-307100</v>
      </c>
    </row>
    <row r="126" spans="1:5" ht="18" customHeight="1">
      <c r="A126" s="47" t="s">
        <v>236</v>
      </c>
      <c r="B126" s="219">
        <f>SUM(Лист1!B104,Лист2!B69,Лист3!B76,Лист4!B69,Лист5!B71,Лист6!B72,Лист8!B74,Лист9!B81,Лист10!B70)</f>
        <v>755000</v>
      </c>
      <c r="C126" s="219">
        <f>SUM(Лист1!C104,Лист2!C69,Лист3!C76,Лист4!C69,Лист5!C71,Лист6!C72,Лист8!C74,Лист9!C81,Лист10!C70)</f>
        <v>0</v>
      </c>
      <c r="D126" s="58">
        <f t="shared" si="5"/>
        <v>0</v>
      </c>
      <c r="E126" s="59">
        <f t="shared" si="6"/>
        <v>-755000</v>
      </c>
    </row>
    <row r="127" spans="1:5" ht="40.5" customHeight="1">
      <c r="A127" s="16" t="s">
        <v>226</v>
      </c>
      <c r="B127" s="219">
        <f>SUM(B128:B130)</f>
        <v>0</v>
      </c>
      <c r="C127" s="219">
        <f>SUM(C128:C130)</f>
        <v>0</v>
      </c>
      <c r="D127" s="58" t="str">
        <f t="shared" si="5"/>
        <v>   </v>
      </c>
      <c r="E127" s="59">
        <f t="shared" si="6"/>
        <v>0</v>
      </c>
    </row>
    <row r="128" spans="1:5" ht="18" customHeight="1">
      <c r="A128" s="47" t="s">
        <v>234</v>
      </c>
      <c r="B128" s="219">
        <f>SUM(Лист1!B106,Лист3!B78,Лист4!B71,Лист5!B73,Лист9!B85,Лист10!B72)</f>
        <v>0</v>
      </c>
      <c r="C128" s="219">
        <f>SUM(Лист1!C106,Лист3!C78,Лист4!C71,Лист5!C73,Лист9!C85,Лист10!C72)</f>
        <v>0</v>
      </c>
      <c r="D128" s="58" t="str">
        <f t="shared" si="5"/>
        <v>   </v>
      </c>
      <c r="E128" s="59">
        <f t="shared" si="6"/>
        <v>0</v>
      </c>
    </row>
    <row r="129" spans="1:5" ht="18" customHeight="1">
      <c r="A129" s="47" t="s">
        <v>235</v>
      </c>
      <c r="B129" s="211">
        <f>SUM(Лист1!B107,Лист3!B79,Лист4!B72,Лист5!B74,Лист9!B86,Лист10!B73)</f>
        <v>0</v>
      </c>
      <c r="C129" s="211">
        <f>SUM(Лист1!C107,Лист3!C79,Лист4!C72,Лист5!C74,Лист9!C86,Лист10!C73)</f>
        <v>0</v>
      </c>
      <c r="D129" s="58" t="str">
        <f t="shared" si="5"/>
        <v>   </v>
      </c>
      <c r="E129" s="59">
        <f t="shared" si="6"/>
        <v>0</v>
      </c>
    </row>
    <row r="130" spans="1:5" ht="18" customHeight="1">
      <c r="A130" s="47" t="s">
        <v>236</v>
      </c>
      <c r="B130" s="211">
        <f>SUM(Лист1!B108,Лист3!B80,Лист4!B73,Лист5!B75,Лист9!B87,Лист10!B74)</f>
        <v>0</v>
      </c>
      <c r="C130" s="211">
        <f>SUM(Лист1!C108,Лист3!C80,Лист4!C73,Лист5!C75,Лист9!C87,Лист10!C74)</f>
        <v>0</v>
      </c>
      <c r="D130" s="58" t="str">
        <f t="shared" si="5"/>
        <v>   </v>
      </c>
      <c r="E130" s="59">
        <f t="shared" si="6"/>
        <v>0</v>
      </c>
    </row>
    <row r="131" spans="1:5" ht="36.75" customHeight="1">
      <c r="A131" s="119" t="s">
        <v>233</v>
      </c>
      <c r="B131" s="198">
        <f>SUM(B132:B134)</f>
        <v>2117500</v>
      </c>
      <c r="C131" s="198">
        <f>SUM(C132:C134)</f>
        <v>0</v>
      </c>
      <c r="D131" s="58">
        <v>0</v>
      </c>
      <c r="E131" s="59">
        <f>C131-B131</f>
        <v>-2117500</v>
      </c>
    </row>
    <row r="132" spans="1:5" ht="12.75">
      <c r="A132" s="16" t="s">
        <v>237</v>
      </c>
      <c r="B132" s="211">
        <f>Лист1!B117+Лист3!B89+Лист4!B82+Лист5!B77+Лист7!B89+Лист8!B83+Лист9!B94+Лист10!B83</f>
        <v>0</v>
      </c>
      <c r="C132" s="211">
        <f>Лист1!C117+Лист3!C89+Лист4!C82+Лист5!C77+Лист7!C89+Лист8!C83+Лист9!C94+Лист10!C83</f>
        <v>0</v>
      </c>
      <c r="D132" s="58">
        <v>0</v>
      </c>
      <c r="E132" s="59">
        <f>C132-B132</f>
        <v>0</v>
      </c>
    </row>
    <row r="133" spans="1:5" ht="12.75">
      <c r="A133" s="16" t="s">
        <v>239</v>
      </c>
      <c r="B133" s="211">
        <f>Лист1!B118+Лист3!B90+Лист4!B83+Лист5!B78+Лист7!B90+Лист8!B84+Лист9!B95</f>
        <v>1049300</v>
      </c>
      <c r="C133" s="211">
        <f>Лист1!C118+Лист3!C90+Лист4!C83+Лист5!C78+Лист7!C90+Лист8!C84+Лист9!C95</f>
        <v>0</v>
      </c>
      <c r="D133" s="58">
        <v>0</v>
      </c>
      <c r="E133" s="59">
        <f>C133-B133</f>
        <v>-1049300</v>
      </c>
    </row>
    <row r="134" spans="1:5" ht="12.75">
      <c r="A134" s="16" t="s">
        <v>238</v>
      </c>
      <c r="B134" s="211">
        <f>Лист1!B119+Лист3!B91+Лист4!B84+Лист5!B79+Лист7!B91+Лист8!B85+Лист9!B96</f>
        <v>1068200</v>
      </c>
      <c r="C134" s="211">
        <f>Лист1!C119+Лист3!C91+Лист4!C84+Лист5!C79+Лист7!C91+Лист8!C85+Лист9!C96</f>
        <v>0</v>
      </c>
      <c r="D134" s="58"/>
      <c r="E134" s="59"/>
    </row>
    <row r="135" spans="1:5" ht="12.75">
      <c r="A135" s="16" t="s">
        <v>215</v>
      </c>
      <c r="B135" s="193">
        <f>SUM(B136,)</f>
        <v>355000</v>
      </c>
      <c r="C135" s="193">
        <f>SUM(C136,)</f>
        <v>14400</v>
      </c>
      <c r="D135" s="58">
        <f>IF(B135=0,"   ",C135/B135*100)</f>
        <v>4.056338028169014</v>
      </c>
      <c r="E135" s="59">
        <f>C135-B135</f>
        <v>-340600</v>
      </c>
    </row>
    <row r="136" spans="1:5" ht="12.75">
      <c r="A136" s="16" t="s">
        <v>216</v>
      </c>
      <c r="B136" s="193">
        <f>Лист1!B97+Лист2!B62+Лист3!B69+Лист4!B62+Лист5!B64+Лист6!B65+Лист7!B83+Лист8!B67+Лист9!B70+Лист10!B63</f>
        <v>355000</v>
      </c>
      <c r="C136" s="193">
        <f>Лист1!C97+Лист2!C62+Лист3!C69+Лист4!C62+Лист5!C64+Лист6!C65+Лист7!C83+Лист8!C67+Лист9!C70+Лист10!C63</f>
        <v>14400</v>
      </c>
      <c r="D136" s="58">
        <f>IF(B136=0,"   ",C136/B136*100)</f>
        <v>4.056338028169014</v>
      </c>
      <c r="E136" s="59">
        <f>C136-B136</f>
        <v>-340600</v>
      </c>
    </row>
    <row r="137" spans="1:5" ht="12.75">
      <c r="A137" s="16" t="s">
        <v>256</v>
      </c>
      <c r="B137" s="193">
        <f>B138</f>
        <v>90000</v>
      </c>
      <c r="C137" s="193">
        <f>C138</f>
        <v>13558.5</v>
      </c>
      <c r="D137" s="58"/>
      <c r="E137" s="59"/>
    </row>
    <row r="138" spans="1:5" ht="12.75">
      <c r="A138" s="16" t="s">
        <v>270</v>
      </c>
      <c r="B138" s="193">
        <f>Лист7!B93</f>
        <v>90000</v>
      </c>
      <c r="C138" s="193">
        <f>Лист7!C93</f>
        <v>13558.5</v>
      </c>
      <c r="D138" s="58"/>
      <c r="E138" s="59"/>
    </row>
    <row r="139" spans="1:5" ht="12.75">
      <c r="A139" s="16" t="s">
        <v>316</v>
      </c>
      <c r="B139" s="193"/>
      <c r="C139" s="193">
        <f>Лист7!C94</f>
        <v>100000</v>
      </c>
      <c r="D139" s="58"/>
      <c r="E139" s="59"/>
    </row>
    <row r="140" spans="1:5" ht="15.75">
      <c r="A140" s="164" t="s">
        <v>19</v>
      </c>
      <c r="B140" s="138">
        <f>B55+B62+B64+B69+B84+B100+B101+B135+B110+B137</f>
        <v>41819600</v>
      </c>
      <c r="C140" s="138">
        <f>SUM(C55,C62,C64,C69,C84,C100,C101,C135,C110,)+C137+C139</f>
        <v>4704024.92</v>
      </c>
      <c r="D140" s="139">
        <f t="shared" si="5"/>
        <v>11.248373776889304</v>
      </c>
      <c r="E140" s="140">
        <f t="shared" si="6"/>
        <v>-37115575.08</v>
      </c>
    </row>
    <row r="141" spans="1:5" ht="13.5" thickBot="1">
      <c r="A141" s="98" t="s">
        <v>211</v>
      </c>
      <c r="B141" s="212">
        <f>B57+B67+B103</f>
        <v>5659004</v>
      </c>
      <c r="C141" s="212">
        <f>C57+C67+C103+C137</f>
        <v>630734.0800000001</v>
      </c>
      <c r="D141" s="114">
        <f t="shared" si="5"/>
        <v>11.145672984150568</v>
      </c>
      <c r="E141" s="115">
        <f t="shared" si="6"/>
        <v>-5028269.92</v>
      </c>
    </row>
    <row r="142" spans="1:5" s="76" customFormat="1" ht="23.25" customHeight="1">
      <c r="A142" s="110" t="s">
        <v>251</v>
      </c>
      <c r="B142" s="110"/>
      <c r="C142" s="250"/>
      <c r="D142" s="250"/>
      <c r="E142" s="250"/>
    </row>
    <row r="143" spans="1:5" s="76" customFormat="1" ht="12" customHeight="1">
      <c r="A143" s="110" t="s">
        <v>250</v>
      </c>
      <c r="B143" s="110"/>
      <c r="C143" s="111" t="s">
        <v>252</v>
      </c>
      <c r="D143" s="112"/>
      <c r="E143" s="113"/>
    </row>
    <row r="144" spans="1:5" ht="12.75">
      <c r="A144" s="7"/>
      <c r="B144" s="7"/>
      <c r="C144" s="61"/>
      <c r="D144" s="7"/>
      <c r="E144" s="62"/>
    </row>
    <row r="145" spans="1:5" ht="12.75">
      <c r="A145" s="7"/>
      <c r="B145" s="7"/>
      <c r="C145" s="61"/>
      <c r="D145" s="7"/>
      <c r="E145" s="62"/>
    </row>
    <row r="146" spans="1:5" ht="12.75">
      <c r="A146" s="7"/>
      <c r="B146" s="7"/>
      <c r="C146" s="61"/>
      <c r="D146" s="7"/>
      <c r="E146" s="62"/>
    </row>
    <row r="147" spans="1:5" ht="12.75">
      <c r="A147" s="7"/>
      <c r="B147" s="7"/>
      <c r="C147" s="61"/>
      <c r="D147" s="7"/>
      <c r="E147" s="62"/>
    </row>
  </sheetData>
  <mergeCells count="2">
    <mergeCell ref="A1:E1"/>
    <mergeCell ref="C142:E142"/>
  </mergeCells>
  <printOptions/>
  <pageMargins left="0.7874015748031497" right="0.7874015748031497" top="0.4724409448818898" bottom="0.31496062992125984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workbookViewId="0" topLeftCell="A25">
      <selection activeCell="B55" sqref="B55"/>
    </sheetView>
  </sheetViews>
  <sheetFormatPr defaultColWidth="9.00390625" defaultRowHeight="12.75"/>
  <cols>
    <col min="1" max="1" width="80.875" style="0" customWidth="1"/>
    <col min="2" max="2" width="16.875" style="0" customWidth="1"/>
    <col min="3" max="3" width="19.875" style="0" customWidth="1"/>
    <col min="4" max="4" width="17.875" style="0" customWidth="1"/>
    <col min="5" max="5" width="19.375" style="0" customWidth="1"/>
  </cols>
  <sheetData>
    <row r="1" spans="1:5" ht="18">
      <c r="A1" s="252" t="s">
        <v>306</v>
      </c>
      <c r="B1" s="252"/>
      <c r="C1" s="252"/>
      <c r="D1" s="252"/>
      <c r="E1" s="252"/>
    </row>
    <row r="2" spans="1:5" ht="13.5" thickBot="1">
      <c r="A2" s="4"/>
      <c r="B2" s="4"/>
      <c r="C2" s="5"/>
      <c r="D2" s="4"/>
      <c r="E2" s="4" t="s">
        <v>0</v>
      </c>
    </row>
    <row r="3" spans="1:5" ht="63">
      <c r="A3" s="35" t="s">
        <v>1</v>
      </c>
      <c r="B3" s="19" t="s">
        <v>284</v>
      </c>
      <c r="C3" s="32" t="s">
        <v>307</v>
      </c>
      <c r="D3" s="19" t="s">
        <v>280</v>
      </c>
      <c r="E3" s="19" t="s">
        <v>281</v>
      </c>
    </row>
    <row r="4" spans="1:5" ht="12.75">
      <c r="A4" s="13">
        <v>1</v>
      </c>
      <c r="B4" s="97">
        <v>2</v>
      </c>
      <c r="C4" s="34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.75" customHeight="1">
      <c r="A6" s="17" t="s">
        <v>58</v>
      </c>
      <c r="B6" s="191">
        <f>SUM(B7)</f>
        <v>38300</v>
      </c>
      <c r="C6" s="191">
        <f>SUM(C7)</f>
        <v>8199.96</v>
      </c>
      <c r="D6" s="26">
        <f aca="true" t="shared" si="0" ref="D6:D67">IF(B6=0,"   ",C6/B6*100)</f>
        <v>21.40981723237598</v>
      </c>
      <c r="E6" s="49">
        <f aca="true" t="shared" si="1" ref="E6:E67">C6-B6</f>
        <v>-30100.04</v>
      </c>
    </row>
    <row r="7" spans="1:5" ht="12.75" customHeight="1">
      <c r="A7" s="16" t="s">
        <v>57</v>
      </c>
      <c r="B7" s="25">
        <v>38300</v>
      </c>
      <c r="C7" s="27">
        <v>8199.96</v>
      </c>
      <c r="D7" s="26">
        <f t="shared" si="0"/>
        <v>21.40981723237598</v>
      </c>
      <c r="E7" s="49">
        <f t="shared" si="1"/>
        <v>-30100.04</v>
      </c>
    </row>
    <row r="8" spans="1:5" ht="16.5" customHeight="1">
      <c r="A8" s="16" t="s">
        <v>7</v>
      </c>
      <c r="B8" s="193">
        <f>SUM(B9:B9)</f>
        <v>19200</v>
      </c>
      <c r="C8" s="193">
        <f>SUM(C9:C9)</f>
        <v>357.6</v>
      </c>
      <c r="D8" s="26">
        <f t="shared" si="0"/>
        <v>1.8625000000000003</v>
      </c>
      <c r="E8" s="49">
        <f t="shared" si="1"/>
        <v>-18842.4</v>
      </c>
    </row>
    <row r="9" spans="1:5" ht="14.25" customHeight="1">
      <c r="A9" s="16" t="s">
        <v>38</v>
      </c>
      <c r="B9" s="25">
        <v>19200</v>
      </c>
      <c r="C9" s="27">
        <v>357.6</v>
      </c>
      <c r="D9" s="26">
        <f t="shared" si="0"/>
        <v>1.8625000000000003</v>
      </c>
      <c r="E9" s="49">
        <f t="shared" si="1"/>
        <v>-18842.4</v>
      </c>
    </row>
    <row r="10" spans="1:5" ht="14.25" customHeight="1">
      <c r="A10" s="16" t="s">
        <v>9</v>
      </c>
      <c r="B10" s="193">
        <f>SUM(B11:B12)</f>
        <v>359000</v>
      </c>
      <c r="C10" s="193">
        <f>SUM(C11:C12)</f>
        <v>6944.42</v>
      </c>
      <c r="D10" s="26">
        <f t="shared" si="0"/>
        <v>1.9343788300835656</v>
      </c>
      <c r="E10" s="49">
        <f t="shared" si="1"/>
        <v>-352055.58</v>
      </c>
    </row>
    <row r="11" spans="1:5" ht="12.75" customHeight="1">
      <c r="A11" s="16" t="s">
        <v>39</v>
      </c>
      <c r="B11" s="25">
        <v>40000</v>
      </c>
      <c r="C11" s="27">
        <v>810.62</v>
      </c>
      <c r="D11" s="26">
        <f t="shared" si="0"/>
        <v>2.02655</v>
      </c>
      <c r="E11" s="49">
        <f t="shared" si="1"/>
        <v>-39189.38</v>
      </c>
    </row>
    <row r="12" spans="1:5" ht="12.75">
      <c r="A12" s="16" t="s">
        <v>10</v>
      </c>
      <c r="B12" s="25">
        <v>319000</v>
      </c>
      <c r="C12" s="27">
        <v>6133.8</v>
      </c>
      <c r="D12" s="26">
        <f t="shared" si="0"/>
        <v>1.92282131661442</v>
      </c>
      <c r="E12" s="49">
        <f t="shared" si="1"/>
        <v>-312866.2</v>
      </c>
    </row>
    <row r="13" spans="1:5" ht="25.5">
      <c r="A13" s="16" t="s">
        <v>126</v>
      </c>
      <c r="B13" s="25">
        <v>0</v>
      </c>
      <c r="C13" s="27">
        <v>762.16</v>
      </c>
      <c r="D13" s="26" t="str">
        <f t="shared" si="0"/>
        <v>   </v>
      </c>
      <c r="E13" s="49">
        <f t="shared" si="1"/>
        <v>762.16</v>
      </c>
    </row>
    <row r="14" spans="1:5" ht="16.5" customHeight="1">
      <c r="A14" s="16" t="s">
        <v>104</v>
      </c>
      <c r="B14" s="191">
        <f>B15</f>
        <v>0</v>
      </c>
      <c r="C14" s="191">
        <f>C15</f>
        <v>0</v>
      </c>
      <c r="D14" s="26" t="str">
        <f t="shared" si="0"/>
        <v>   </v>
      </c>
      <c r="E14" s="49">
        <f t="shared" si="1"/>
        <v>0</v>
      </c>
    </row>
    <row r="15" spans="1:5" ht="22.5" customHeight="1">
      <c r="A15" s="16" t="s">
        <v>105</v>
      </c>
      <c r="B15" s="25">
        <v>0</v>
      </c>
      <c r="C15" s="27">
        <v>0</v>
      </c>
      <c r="D15" s="26" t="str">
        <f t="shared" si="0"/>
        <v>   </v>
      </c>
      <c r="E15" s="49">
        <f t="shared" si="1"/>
        <v>0</v>
      </c>
    </row>
    <row r="16" spans="1:5" ht="29.25" customHeight="1">
      <c r="A16" s="16" t="s">
        <v>40</v>
      </c>
      <c r="B16" s="193">
        <f>SUM(B17:B18)</f>
        <v>37500</v>
      </c>
      <c r="C16" s="191">
        <f>SUM(C17:C18)</f>
        <v>8969.38</v>
      </c>
      <c r="D16" s="26">
        <f t="shared" si="0"/>
        <v>23.918346666666665</v>
      </c>
      <c r="E16" s="49">
        <f t="shared" si="1"/>
        <v>-28530.620000000003</v>
      </c>
    </row>
    <row r="17" spans="1:5" ht="15.75" customHeight="1">
      <c r="A17" s="16" t="s">
        <v>41</v>
      </c>
      <c r="B17" s="25">
        <v>37500</v>
      </c>
      <c r="C17" s="27">
        <v>8969.38</v>
      </c>
      <c r="D17" s="26">
        <f t="shared" si="0"/>
        <v>23.918346666666665</v>
      </c>
      <c r="E17" s="49">
        <f t="shared" si="1"/>
        <v>-28530.620000000003</v>
      </c>
    </row>
    <row r="18" spans="1:5" ht="30" customHeight="1">
      <c r="A18" s="16" t="s">
        <v>42</v>
      </c>
      <c r="B18" s="25">
        <v>0</v>
      </c>
      <c r="C18" s="27">
        <v>0</v>
      </c>
      <c r="D18" s="26" t="str">
        <f t="shared" si="0"/>
        <v>   </v>
      </c>
      <c r="E18" s="49">
        <f t="shared" si="1"/>
        <v>0</v>
      </c>
    </row>
    <row r="19" spans="1:5" ht="24" customHeight="1">
      <c r="A19" s="42" t="s">
        <v>131</v>
      </c>
      <c r="B19" s="25">
        <v>0</v>
      </c>
      <c r="C19" s="27">
        <v>0</v>
      </c>
      <c r="D19" s="26" t="str">
        <f t="shared" si="0"/>
        <v>   </v>
      </c>
      <c r="E19" s="49">
        <f t="shared" si="1"/>
        <v>0</v>
      </c>
    </row>
    <row r="20" spans="1:5" ht="16.5" customHeight="1">
      <c r="A20" s="16" t="s">
        <v>44</v>
      </c>
      <c r="B20" s="193">
        <f>SUM(B21:B22)</f>
        <v>0</v>
      </c>
      <c r="C20" s="193">
        <f>SUM(C21:C22)</f>
        <v>1374.96</v>
      </c>
      <c r="D20" s="26" t="str">
        <f t="shared" si="0"/>
        <v>   </v>
      </c>
      <c r="E20" s="49">
        <f t="shared" si="1"/>
        <v>1374.96</v>
      </c>
    </row>
    <row r="21" spans="1:5" ht="15.75" customHeight="1">
      <c r="A21" s="16" t="s">
        <v>178</v>
      </c>
      <c r="B21" s="25">
        <v>0</v>
      </c>
      <c r="C21" s="25">
        <v>0</v>
      </c>
      <c r="D21" s="26" t="str">
        <f t="shared" si="0"/>
        <v>   </v>
      </c>
      <c r="E21" s="49">
        <f t="shared" si="1"/>
        <v>0</v>
      </c>
    </row>
    <row r="22" spans="1:5" s="9" customFormat="1" ht="15" customHeight="1">
      <c r="A22" s="16" t="s">
        <v>179</v>
      </c>
      <c r="B22" s="40">
        <v>0</v>
      </c>
      <c r="C22" s="41">
        <v>1374.96</v>
      </c>
      <c r="D22" s="26" t="str">
        <f t="shared" si="0"/>
        <v>   </v>
      </c>
      <c r="E22" s="43">
        <f>C22-B22</f>
        <v>1374.96</v>
      </c>
    </row>
    <row r="23" spans="1:5" ht="19.5" customHeight="1">
      <c r="A23" s="16" t="s">
        <v>43</v>
      </c>
      <c r="B23" s="25">
        <v>0</v>
      </c>
      <c r="C23" s="25">
        <v>0</v>
      </c>
      <c r="D23" s="26" t="str">
        <f t="shared" si="0"/>
        <v>   </v>
      </c>
      <c r="E23" s="49">
        <f t="shared" si="1"/>
        <v>0</v>
      </c>
    </row>
    <row r="24" spans="1:5" ht="19.5" customHeight="1">
      <c r="A24" s="164" t="s">
        <v>11</v>
      </c>
      <c r="B24" s="165">
        <f>SUM(B6,B8,B10,B13,B14,B16,B23,B19,B20)</f>
        <v>454000</v>
      </c>
      <c r="C24" s="165">
        <f>SUM(C6,C8,C10,C13,C14,C16,C23,C19,C20)</f>
        <v>26608.479999999996</v>
      </c>
      <c r="D24" s="166">
        <f t="shared" si="0"/>
        <v>5.860898678414096</v>
      </c>
      <c r="E24" s="167">
        <f t="shared" si="1"/>
        <v>-427391.52</v>
      </c>
    </row>
    <row r="25" spans="1:5" ht="16.5" customHeight="1">
      <c r="A25" s="17" t="s">
        <v>46</v>
      </c>
      <c r="B25" s="24">
        <v>1214400</v>
      </c>
      <c r="C25" s="24">
        <v>212150</v>
      </c>
      <c r="D25" s="26">
        <f t="shared" si="0"/>
        <v>17.46953227931489</v>
      </c>
      <c r="E25" s="49">
        <f t="shared" si="1"/>
        <v>-1002250</v>
      </c>
    </row>
    <row r="26" spans="1:5" ht="27.75" customHeight="1">
      <c r="A26" s="16" t="s">
        <v>63</v>
      </c>
      <c r="B26" s="25">
        <v>255600</v>
      </c>
      <c r="C26" s="27">
        <v>30000</v>
      </c>
      <c r="D26" s="26">
        <f t="shared" si="0"/>
        <v>11.737089201877934</v>
      </c>
      <c r="E26" s="49">
        <f t="shared" si="1"/>
        <v>-225600</v>
      </c>
    </row>
    <row r="27" spans="1:5" ht="39.75" customHeight="1">
      <c r="A27" s="200" t="s">
        <v>67</v>
      </c>
      <c r="B27" s="201">
        <v>50300</v>
      </c>
      <c r="C27" s="201">
        <v>8400</v>
      </c>
      <c r="D27" s="202">
        <f t="shared" si="0"/>
        <v>16.69980119284294</v>
      </c>
      <c r="E27" s="203">
        <f t="shared" si="1"/>
        <v>-41900</v>
      </c>
    </row>
    <row r="28" spans="1:5" ht="24.75" customHeight="1">
      <c r="A28" s="204" t="s">
        <v>140</v>
      </c>
      <c r="B28" s="201">
        <v>100</v>
      </c>
      <c r="C28" s="205">
        <v>0</v>
      </c>
      <c r="D28" s="202">
        <f t="shared" si="0"/>
        <v>0</v>
      </c>
      <c r="E28" s="203">
        <f t="shared" si="1"/>
        <v>-100</v>
      </c>
    </row>
    <row r="29" spans="1:5" ht="24.75" customHeight="1">
      <c r="A29" s="42" t="s">
        <v>119</v>
      </c>
      <c r="B29" s="25">
        <v>0</v>
      </c>
      <c r="C29" s="27">
        <v>0</v>
      </c>
      <c r="D29" s="26" t="str">
        <f t="shared" si="0"/>
        <v>   </v>
      </c>
      <c r="E29" s="49">
        <f t="shared" si="1"/>
        <v>0</v>
      </c>
    </row>
    <row r="30" spans="1:5" ht="39.75" customHeight="1">
      <c r="A30" s="200" t="s">
        <v>149</v>
      </c>
      <c r="B30" s="201">
        <v>6600</v>
      </c>
      <c r="C30" s="201">
        <v>0</v>
      </c>
      <c r="D30" s="202">
        <f t="shared" si="0"/>
        <v>0</v>
      </c>
      <c r="E30" s="203">
        <f t="shared" si="1"/>
        <v>-6600</v>
      </c>
    </row>
    <row r="31" spans="1:5" ht="16.5" customHeight="1">
      <c r="A31" s="16" t="s">
        <v>106</v>
      </c>
      <c r="B31" s="193">
        <f>B32</f>
        <v>88900</v>
      </c>
      <c r="C31" s="193">
        <f>C32</f>
        <v>0</v>
      </c>
      <c r="D31" s="26">
        <f t="shared" si="0"/>
        <v>0</v>
      </c>
      <c r="E31" s="49">
        <f t="shared" si="1"/>
        <v>-88900</v>
      </c>
    </row>
    <row r="32" spans="1:5" s="7" customFormat="1" ht="14.25" customHeight="1">
      <c r="A32" s="63" t="s">
        <v>180</v>
      </c>
      <c r="B32" s="64">
        <v>88900</v>
      </c>
      <c r="C32" s="64">
        <v>0</v>
      </c>
      <c r="D32" s="64">
        <f t="shared" si="0"/>
        <v>0</v>
      </c>
      <c r="E32" s="43">
        <f t="shared" si="1"/>
        <v>-88900</v>
      </c>
    </row>
    <row r="33" spans="1:5" ht="21.75" customHeight="1">
      <c r="A33" s="164" t="s">
        <v>14</v>
      </c>
      <c r="B33" s="168">
        <f>SUM(B24,B25,B26:B31,)</f>
        <v>2069900</v>
      </c>
      <c r="C33" s="168">
        <f>SUM(C24,C25,C26:C31,)</f>
        <v>277158.48</v>
      </c>
      <c r="D33" s="166">
        <f t="shared" si="0"/>
        <v>13.389945407990723</v>
      </c>
      <c r="E33" s="167">
        <f t="shared" si="1"/>
        <v>-1792741.52</v>
      </c>
    </row>
    <row r="34" spans="1:5" ht="12.75">
      <c r="A34" s="30" t="s">
        <v>64</v>
      </c>
      <c r="B34" s="24"/>
      <c r="C34" s="25"/>
      <c r="D34" s="26" t="str">
        <f t="shared" si="0"/>
        <v>   </v>
      </c>
      <c r="E34" s="49">
        <f t="shared" si="1"/>
        <v>0</v>
      </c>
    </row>
    <row r="35" spans="1:5" ht="13.5" thickBot="1">
      <c r="A35" s="155" t="s">
        <v>15</v>
      </c>
      <c r="B35" s="156"/>
      <c r="C35" s="157"/>
      <c r="D35" s="169" t="str">
        <f t="shared" si="0"/>
        <v>   </v>
      </c>
      <c r="E35" s="170">
        <f t="shared" si="1"/>
        <v>0</v>
      </c>
    </row>
    <row r="36" spans="1:5" ht="13.5" thickBot="1">
      <c r="A36" s="186" t="s">
        <v>48</v>
      </c>
      <c r="B36" s="187">
        <v>755700</v>
      </c>
      <c r="C36" s="187">
        <v>55973.08</v>
      </c>
      <c r="D36" s="188">
        <f t="shared" si="0"/>
        <v>7.406785761545587</v>
      </c>
      <c r="E36" s="189">
        <f t="shared" si="1"/>
        <v>-699726.92</v>
      </c>
    </row>
    <row r="37" spans="1:5" ht="13.5" thickBot="1">
      <c r="A37" s="174" t="s">
        <v>49</v>
      </c>
      <c r="B37" s="175">
        <v>755200</v>
      </c>
      <c r="C37" s="187">
        <v>55973.08</v>
      </c>
      <c r="D37" s="176">
        <f t="shared" si="0"/>
        <v>7.411689618644068</v>
      </c>
      <c r="E37" s="177">
        <f t="shared" si="1"/>
        <v>-699226.92</v>
      </c>
    </row>
    <row r="38" spans="1:5" ht="12.75">
      <c r="A38" s="118" t="s">
        <v>207</v>
      </c>
      <c r="B38" s="25">
        <v>476900</v>
      </c>
      <c r="C38" s="28">
        <v>48571.32</v>
      </c>
      <c r="D38" s="26">
        <f t="shared" si="0"/>
        <v>10.184801845250577</v>
      </c>
      <c r="E38" s="49">
        <f t="shared" si="1"/>
        <v>-428328.68</v>
      </c>
    </row>
    <row r="39" spans="1:5" ht="12.75">
      <c r="A39" s="16" t="s">
        <v>181</v>
      </c>
      <c r="B39" s="25">
        <v>100</v>
      </c>
      <c r="C39" s="28">
        <v>0</v>
      </c>
      <c r="D39" s="26">
        <f t="shared" si="0"/>
        <v>0</v>
      </c>
      <c r="E39" s="49">
        <f t="shared" si="1"/>
        <v>-100</v>
      </c>
    </row>
    <row r="40" spans="1:5" ht="12.75">
      <c r="A40" s="16" t="s">
        <v>141</v>
      </c>
      <c r="B40" s="25">
        <v>500</v>
      </c>
      <c r="C40" s="28">
        <v>0</v>
      </c>
      <c r="D40" s="26">
        <f t="shared" si="0"/>
        <v>0</v>
      </c>
      <c r="E40" s="49">
        <f t="shared" si="1"/>
        <v>-500</v>
      </c>
    </row>
    <row r="41" spans="1:5" ht="13.5" thickBot="1">
      <c r="A41" s="154" t="s">
        <v>70</v>
      </c>
      <c r="B41" s="171">
        <v>0</v>
      </c>
      <c r="C41" s="172">
        <v>0</v>
      </c>
      <c r="D41" s="169" t="str">
        <f t="shared" si="0"/>
        <v>   </v>
      </c>
      <c r="E41" s="170">
        <f t="shared" si="1"/>
        <v>0</v>
      </c>
    </row>
    <row r="42" spans="1:5" ht="13.5" thickBot="1">
      <c r="A42" s="186" t="s">
        <v>65</v>
      </c>
      <c r="B42" s="195">
        <f>SUM(B43)</f>
        <v>50300</v>
      </c>
      <c r="C42" s="195">
        <f>SUM(C43)</f>
        <v>3988.72</v>
      </c>
      <c r="D42" s="188">
        <f t="shared" si="0"/>
        <v>7.929860834990059</v>
      </c>
      <c r="E42" s="189">
        <f t="shared" si="1"/>
        <v>-46311.28</v>
      </c>
    </row>
    <row r="43" spans="1:5" ht="24.75" thickBot="1">
      <c r="A43" s="178" t="s">
        <v>176</v>
      </c>
      <c r="B43" s="179">
        <v>50300</v>
      </c>
      <c r="C43" s="180">
        <v>3988.72</v>
      </c>
      <c r="D43" s="181">
        <f t="shared" si="0"/>
        <v>7.929860834990059</v>
      </c>
      <c r="E43" s="182">
        <f t="shared" si="1"/>
        <v>-46311.28</v>
      </c>
    </row>
    <row r="44" spans="1:5" ht="13.5" thickBot="1">
      <c r="A44" s="186" t="s">
        <v>50</v>
      </c>
      <c r="B44" s="196">
        <f>SUM(B45)</f>
        <v>400</v>
      </c>
      <c r="C44" s="195">
        <f>SUM(C45)</f>
        <v>0</v>
      </c>
      <c r="D44" s="188">
        <f t="shared" si="0"/>
        <v>0</v>
      </c>
      <c r="E44" s="189">
        <f t="shared" si="1"/>
        <v>-400</v>
      </c>
    </row>
    <row r="45" spans="1:5" ht="26.25" thickBot="1">
      <c r="A45" s="103" t="s">
        <v>129</v>
      </c>
      <c r="B45" s="179">
        <v>400</v>
      </c>
      <c r="C45" s="180">
        <v>0</v>
      </c>
      <c r="D45" s="181">
        <f t="shared" si="0"/>
        <v>0</v>
      </c>
      <c r="E45" s="182">
        <f t="shared" si="1"/>
        <v>-400</v>
      </c>
    </row>
    <row r="46" spans="1:5" ht="13.5" thickBot="1">
      <c r="A46" s="186" t="s">
        <v>51</v>
      </c>
      <c r="B46" s="196">
        <f>B48+B49</f>
        <v>168900</v>
      </c>
      <c r="C46" s="196">
        <f>C47+C48</f>
        <v>0</v>
      </c>
      <c r="D46" s="188">
        <f t="shared" si="0"/>
        <v>0</v>
      </c>
      <c r="E46" s="189">
        <f t="shared" si="1"/>
        <v>-168900</v>
      </c>
    </row>
    <row r="47" spans="1:5" ht="12.75">
      <c r="A47" s="145" t="s">
        <v>287</v>
      </c>
      <c r="B47" s="175">
        <v>0</v>
      </c>
      <c r="C47" s="175">
        <v>0</v>
      </c>
      <c r="D47" s="176" t="str">
        <f t="shared" si="0"/>
        <v>   </v>
      </c>
      <c r="E47" s="177">
        <f t="shared" si="1"/>
        <v>0</v>
      </c>
    </row>
    <row r="48" spans="1:5" ht="25.5">
      <c r="A48" s="91" t="s">
        <v>288</v>
      </c>
      <c r="B48" s="179">
        <v>88900</v>
      </c>
      <c r="C48" s="179">
        <v>0</v>
      </c>
      <c r="D48" s="181"/>
      <c r="E48" s="182"/>
    </row>
    <row r="49" spans="1:5" ht="26.25" thickBot="1">
      <c r="A49" s="91" t="s">
        <v>289</v>
      </c>
      <c r="B49" s="171">
        <v>80000</v>
      </c>
      <c r="C49" s="171">
        <v>0</v>
      </c>
      <c r="D49" s="169">
        <f t="shared" si="0"/>
        <v>0</v>
      </c>
      <c r="E49" s="170">
        <f t="shared" si="1"/>
        <v>-80000</v>
      </c>
    </row>
    <row r="50" spans="1:5" ht="13.5" customHeight="1" thickBot="1">
      <c r="A50" s="186" t="s">
        <v>16</v>
      </c>
      <c r="B50" s="196">
        <f>SUM(B53,B51)</f>
        <v>222000</v>
      </c>
      <c r="C50" s="196">
        <f>SUM(C53,C51)</f>
        <v>49319.35</v>
      </c>
      <c r="D50" s="188">
        <f t="shared" si="0"/>
        <v>22.215923423423423</v>
      </c>
      <c r="E50" s="189">
        <f t="shared" si="1"/>
        <v>-172680.65</v>
      </c>
    </row>
    <row r="51" spans="1:5" ht="13.5" customHeight="1">
      <c r="A51" s="174" t="s">
        <v>122</v>
      </c>
      <c r="B51" s="199">
        <f>SUM(B52)</f>
        <v>0</v>
      </c>
      <c r="C51" s="199">
        <f>SUM(C52)</f>
        <v>0</v>
      </c>
      <c r="D51" s="176" t="str">
        <f t="shared" si="0"/>
        <v>   </v>
      </c>
      <c r="E51" s="177">
        <f t="shared" si="1"/>
        <v>0</v>
      </c>
    </row>
    <row r="52" spans="1:5" ht="14.25" customHeight="1">
      <c r="A52" s="16" t="s">
        <v>123</v>
      </c>
      <c r="B52" s="25">
        <v>0</v>
      </c>
      <c r="C52" s="25">
        <v>0</v>
      </c>
      <c r="D52" s="26" t="str">
        <f t="shared" si="0"/>
        <v>   </v>
      </c>
      <c r="E52" s="49">
        <f t="shared" si="1"/>
        <v>0</v>
      </c>
    </row>
    <row r="53" spans="1:5" ht="12.75">
      <c r="A53" s="16" t="s">
        <v>79</v>
      </c>
      <c r="B53" s="25">
        <v>222000</v>
      </c>
      <c r="C53" s="25">
        <v>49319.35</v>
      </c>
      <c r="D53" s="26">
        <f t="shared" si="0"/>
        <v>22.215923423423423</v>
      </c>
      <c r="E53" s="49">
        <f t="shared" si="1"/>
        <v>-172680.65</v>
      </c>
    </row>
    <row r="54" spans="1:5" ht="12.75">
      <c r="A54" s="16" t="s">
        <v>77</v>
      </c>
      <c r="B54" s="25">
        <v>180000</v>
      </c>
      <c r="C54" s="27">
        <v>49319.35</v>
      </c>
      <c r="D54" s="26">
        <f t="shared" si="0"/>
        <v>27.399638888888887</v>
      </c>
      <c r="E54" s="49">
        <f t="shared" si="1"/>
        <v>-130680.65</v>
      </c>
    </row>
    <row r="55" spans="1:5" ht="13.5" thickBot="1">
      <c r="A55" s="154" t="s">
        <v>80</v>
      </c>
      <c r="B55" s="171">
        <v>42000</v>
      </c>
      <c r="C55" s="172">
        <v>0</v>
      </c>
      <c r="D55" s="169">
        <f t="shared" si="0"/>
        <v>0</v>
      </c>
      <c r="E55" s="170">
        <f t="shared" si="1"/>
        <v>-42000</v>
      </c>
    </row>
    <row r="56" spans="1:5" ht="15.75" thickBot="1">
      <c r="A56" s="190" t="s">
        <v>24</v>
      </c>
      <c r="B56" s="148">
        <v>10000</v>
      </c>
      <c r="C56" s="148">
        <v>0</v>
      </c>
      <c r="D56" s="188">
        <f t="shared" si="0"/>
        <v>0</v>
      </c>
      <c r="E56" s="189">
        <f t="shared" si="1"/>
        <v>-10000</v>
      </c>
    </row>
    <row r="57" spans="1:5" ht="13.5" thickBot="1">
      <c r="A57" s="186" t="s">
        <v>54</v>
      </c>
      <c r="B57" s="197">
        <f>B58</f>
        <v>716200</v>
      </c>
      <c r="C57" s="197">
        <f>C58</f>
        <v>119000</v>
      </c>
      <c r="D57" s="188">
        <f t="shared" si="0"/>
        <v>16.6154705389556</v>
      </c>
      <c r="E57" s="189">
        <f t="shared" si="1"/>
        <v>-597200</v>
      </c>
    </row>
    <row r="58" spans="1:5" ht="12.75">
      <c r="A58" s="174" t="s">
        <v>55</v>
      </c>
      <c r="B58" s="175">
        <v>716200</v>
      </c>
      <c r="C58" s="183">
        <v>119000</v>
      </c>
      <c r="D58" s="176">
        <f t="shared" si="0"/>
        <v>16.6154705389556</v>
      </c>
      <c r="E58" s="177">
        <f t="shared" si="1"/>
        <v>-597200</v>
      </c>
    </row>
    <row r="59" spans="1:5" ht="12.75">
      <c r="A59" s="118" t="s">
        <v>208</v>
      </c>
      <c r="B59" s="25">
        <v>0</v>
      </c>
      <c r="C59" s="27">
        <v>0</v>
      </c>
      <c r="D59" s="26" t="str">
        <f t="shared" si="0"/>
        <v>   </v>
      </c>
      <c r="E59" s="49">
        <f t="shared" si="1"/>
        <v>0</v>
      </c>
    </row>
    <row r="60" spans="1:5" ht="14.25" customHeight="1" thickBot="1">
      <c r="A60" s="154" t="s">
        <v>177</v>
      </c>
      <c r="B60" s="171">
        <v>6600</v>
      </c>
      <c r="C60" s="172">
        <v>0</v>
      </c>
      <c r="D60" s="169">
        <f t="shared" si="0"/>
        <v>0</v>
      </c>
      <c r="E60" s="170">
        <f t="shared" si="1"/>
        <v>-6600</v>
      </c>
    </row>
    <row r="61" spans="1:5" ht="13.5" thickBot="1">
      <c r="A61" s="186" t="s">
        <v>215</v>
      </c>
      <c r="B61" s="196">
        <f>SUM(B62,)</f>
        <v>65000</v>
      </c>
      <c r="C61" s="196">
        <f>SUM(C62,)</f>
        <v>0</v>
      </c>
      <c r="D61" s="188">
        <f t="shared" si="0"/>
        <v>0</v>
      </c>
      <c r="E61" s="189">
        <f t="shared" si="1"/>
        <v>-65000</v>
      </c>
    </row>
    <row r="62" spans="1:5" ht="13.5" thickBot="1">
      <c r="A62" s="184" t="s">
        <v>56</v>
      </c>
      <c r="B62" s="179">
        <v>65000</v>
      </c>
      <c r="C62" s="185">
        <v>0</v>
      </c>
      <c r="D62" s="181">
        <f t="shared" si="0"/>
        <v>0</v>
      </c>
      <c r="E62" s="182">
        <f t="shared" si="1"/>
        <v>-65000</v>
      </c>
    </row>
    <row r="63" spans="1:5" ht="13.5" thickBot="1">
      <c r="A63" s="186" t="s">
        <v>18</v>
      </c>
      <c r="B63" s="196">
        <f>B64</f>
        <v>81400</v>
      </c>
      <c r="C63" s="196">
        <f>C64</f>
        <v>0</v>
      </c>
      <c r="D63" s="188">
        <f t="shared" si="0"/>
        <v>0</v>
      </c>
      <c r="E63" s="189">
        <f t="shared" si="1"/>
        <v>-81400</v>
      </c>
    </row>
    <row r="64" spans="1:5" ht="12.75">
      <c r="A64" s="174" t="s">
        <v>224</v>
      </c>
      <c r="B64" s="199">
        <f>SUM(B65)</f>
        <v>81400</v>
      </c>
      <c r="C64" s="199">
        <f>SUM(C65)</f>
        <v>0</v>
      </c>
      <c r="D64" s="176">
        <f t="shared" si="0"/>
        <v>0</v>
      </c>
      <c r="E64" s="177">
        <f t="shared" si="1"/>
        <v>-81400</v>
      </c>
    </row>
    <row r="65" spans="1:5" ht="12.75">
      <c r="A65" s="158" t="s">
        <v>254</v>
      </c>
      <c r="B65" s="198">
        <f>SUM(B66)</f>
        <v>81400</v>
      </c>
      <c r="C65" s="198">
        <f>SUM(C66)</f>
        <v>0</v>
      </c>
      <c r="D65" s="26">
        <f t="shared" si="0"/>
        <v>0</v>
      </c>
      <c r="E65" s="49">
        <f t="shared" si="1"/>
        <v>-81400</v>
      </c>
    </row>
    <row r="66" spans="1:5" ht="25.5" customHeight="1">
      <c r="A66" s="16" t="s">
        <v>242</v>
      </c>
      <c r="B66" s="193">
        <f>SUM(B67:B69)</f>
        <v>81400</v>
      </c>
      <c r="C66" s="193">
        <f>SUM(C67:C69)</f>
        <v>0</v>
      </c>
      <c r="D66" s="26">
        <f t="shared" si="0"/>
        <v>0</v>
      </c>
      <c r="E66" s="49">
        <f t="shared" si="1"/>
        <v>-81400</v>
      </c>
    </row>
    <row r="67" spans="1:5" ht="15.75" customHeight="1">
      <c r="A67" s="47" t="s">
        <v>234</v>
      </c>
      <c r="B67" s="25">
        <v>0</v>
      </c>
      <c r="C67" s="27"/>
      <c r="D67" s="26" t="str">
        <f t="shared" si="0"/>
        <v>   </v>
      </c>
      <c r="E67" s="49">
        <f t="shared" si="1"/>
        <v>0</v>
      </c>
    </row>
    <row r="68" spans="1:5" ht="14.25" customHeight="1">
      <c r="A68" s="47" t="s">
        <v>235</v>
      </c>
      <c r="B68">
        <v>0</v>
      </c>
      <c r="C68" s="27"/>
      <c r="D68" s="26" t="str">
        <f>IF(B68=0,"   ",C68/B68*100)</f>
        <v>   </v>
      </c>
      <c r="E68" s="49">
        <f>C68-B68</f>
        <v>0</v>
      </c>
    </row>
    <row r="69" spans="1:5" ht="12.75" customHeight="1">
      <c r="A69" s="47" t="s">
        <v>236</v>
      </c>
      <c r="B69" s="116">
        <v>81400</v>
      </c>
      <c r="C69" s="27">
        <v>0</v>
      </c>
      <c r="D69" s="26">
        <f>IF(B69=0,"   ",C69/B69*100)</f>
        <v>0</v>
      </c>
      <c r="E69" s="49">
        <f>C69-B69</f>
        <v>-81400</v>
      </c>
    </row>
    <row r="70" spans="1:5" ht="18" customHeight="1">
      <c r="A70" s="164" t="s">
        <v>19</v>
      </c>
      <c r="B70" s="168">
        <f>SUM(B36,B42,B44,B46,B50,B56,B57,B61,B63,)</f>
        <v>2069900</v>
      </c>
      <c r="C70" s="168">
        <f>SUM(C36,C42,C44,C46,C50,C56,C57,C61,C63,)</f>
        <v>228281.15</v>
      </c>
      <c r="D70" s="166">
        <f>IF(B70=0,"   ",C70/B70*100)</f>
        <v>11.028607662205903</v>
      </c>
      <c r="E70" s="167">
        <f>C70-B70</f>
        <v>-1841618.85</v>
      </c>
    </row>
    <row r="71" spans="1:5" ht="14.25" customHeight="1" thickBot="1">
      <c r="A71" s="98" t="s">
        <v>211</v>
      </c>
      <c r="B71" s="212">
        <f>B38+B59</f>
        <v>476900</v>
      </c>
      <c r="C71" s="212">
        <f>C38+C59</f>
        <v>48571.32</v>
      </c>
      <c r="D71" s="99">
        <f>IF(B71=0,"   ",C71/B71*100)</f>
        <v>10.184801845250577</v>
      </c>
      <c r="E71" s="100">
        <f>C71-B71</f>
        <v>-428328.68</v>
      </c>
    </row>
    <row r="72" spans="1:5" s="76" customFormat="1" ht="23.25" customHeight="1">
      <c r="A72" s="110" t="s">
        <v>251</v>
      </c>
      <c r="B72" s="110"/>
      <c r="C72" s="250"/>
      <c r="D72" s="250"/>
      <c r="E72" s="250"/>
    </row>
    <row r="73" spans="1:5" s="76" customFormat="1" ht="12" customHeight="1">
      <c r="A73" s="110" t="s">
        <v>250</v>
      </c>
      <c r="B73" s="110"/>
      <c r="C73" s="111" t="s">
        <v>252</v>
      </c>
      <c r="D73" s="112"/>
      <c r="E73" s="113"/>
    </row>
    <row r="74" spans="1:5" ht="12.75">
      <c r="A74" s="7"/>
      <c r="B74" s="7"/>
      <c r="C74" s="6"/>
      <c r="D74" s="7"/>
      <c r="E74" s="2"/>
    </row>
    <row r="75" spans="1:5" ht="12.75">
      <c r="A75" s="7"/>
      <c r="B75" s="7"/>
      <c r="C75" s="6"/>
      <c r="D75" s="7"/>
      <c r="E75" s="2"/>
    </row>
    <row r="76" spans="1:5" ht="12.75">
      <c r="A76" s="7"/>
      <c r="B76" s="7"/>
      <c r="C76" s="6"/>
      <c r="D76" s="7"/>
      <c r="E76" s="2"/>
    </row>
    <row r="77" spans="1:5" ht="12.75">
      <c r="A77" s="7"/>
      <c r="B77" s="7"/>
      <c r="C77" s="6"/>
      <c r="D77" s="7"/>
      <c r="E77" s="2"/>
    </row>
  </sheetData>
  <mergeCells count="2">
    <mergeCell ref="A1:E1"/>
    <mergeCell ref="C72:E72"/>
  </mergeCells>
  <printOptions/>
  <pageMargins left="0.7874015748031497" right="0.7874015748031497" top="0.4724409448818898" bottom="0.5118110236220472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9"/>
  <sheetViews>
    <sheetView view="pageBreakPreview" zoomScaleNormal="75" zoomScaleSheetLayoutView="100" workbookViewId="0" topLeftCell="A46">
      <selection activeCell="B57" sqref="B57"/>
    </sheetView>
  </sheetViews>
  <sheetFormatPr defaultColWidth="9.00390625" defaultRowHeight="12.75"/>
  <cols>
    <col min="1" max="1" width="92.875" style="0" customWidth="1"/>
    <col min="2" max="2" width="15.25390625" style="0" customWidth="1"/>
    <col min="3" max="3" width="19.375" style="0" customWidth="1"/>
    <col min="4" max="4" width="14.625" style="0" customWidth="1"/>
    <col min="5" max="5" width="19.25390625" style="0" customWidth="1"/>
  </cols>
  <sheetData>
    <row r="1" spans="1:5" ht="18">
      <c r="A1" s="252" t="s">
        <v>308</v>
      </c>
      <c r="B1" s="252"/>
      <c r="C1" s="252"/>
      <c r="D1" s="252"/>
      <c r="E1" s="252"/>
    </row>
    <row r="2" spans="1:5" ht="13.5" thickBot="1">
      <c r="A2" s="4"/>
      <c r="B2" s="4"/>
      <c r="C2" s="5"/>
      <c r="D2" s="4"/>
      <c r="E2" s="4" t="s">
        <v>0</v>
      </c>
    </row>
    <row r="3" spans="1:5" ht="76.5" customHeight="1">
      <c r="A3" s="35" t="s">
        <v>1</v>
      </c>
      <c r="B3" s="19" t="s">
        <v>284</v>
      </c>
      <c r="C3" s="32" t="s">
        <v>307</v>
      </c>
      <c r="D3" s="19" t="s">
        <v>282</v>
      </c>
      <c r="E3" s="19" t="s">
        <v>283</v>
      </c>
    </row>
    <row r="4" spans="1:5" ht="12.75">
      <c r="A4" s="13">
        <v>1</v>
      </c>
      <c r="B4" s="97">
        <v>2</v>
      </c>
      <c r="C4" s="34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" customHeight="1">
      <c r="A6" s="17" t="s">
        <v>58</v>
      </c>
      <c r="B6" s="191">
        <f>SUM(B7)</f>
        <v>96500</v>
      </c>
      <c r="C6" s="191">
        <f>SUM(C7)</f>
        <v>8364.06</v>
      </c>
      <c r="D6" s="26">
        <f aca="true" t="shared" si="0" ref="D6:D69">IF(B6=0,"   ",C6/B6*100)</f>
        <v>8.66741968911917</v>
      </c>
      <c r="E6" s="49">
        <f aca="true" t="shared" si="1" ref="E6:E93">C6-B6</f>
        <v>-88135.94</v>
      </c>
    </row>
    <row r="7" spans="1:5" ht="15" customHeight="1">
      <c r="A7" s="16" t="s">
        <v>57</v>
      </c>
      <c r="B7" s="25">
        <v>96500</v>
      </c>
      <c r="C7" s="27">
        <v>8364.06</v>
      </c>
      <c r="D7" s="26">
        <f t="shared" si="0"/>
        <v>8.66741968911917</v>
      </c>
      <c r="E7" s="49">
        <f t="shared" si="1"/>
        <v>-88135.94</v>
      </c>
    </row>
    <row r="8" spans="1:5" ht="16.5" customHeight="1">
      <c r="A8" s="16" t="s">
        <v>7</v>
      </c>
      <c r="B8" s="193">
        <f>B9</f>
        <v>16800</v>
      </c>
      <c r="C8" s="193">
        <f>C9</f>
        <v>7915.85</v>
      </c>
      <c r="D8" s="26">
        <f t="shared" si="0"/>
        <v>47.11815476190476</v>
      </c>
      <c r="E8" s="49">
        <f t="shared" si="1"/>
        <v>-8884.15</v>
      </c>
    </row>
    <row r="9" spans="1:5" ht="15" customHeight="1">
      <c r="A9" s="16" t="s">
        <v>38</v>
      </c>
      <c r="B9" s="25">
        <v>16800</v>
      </c>
      <c r="C9" s="27">
        <v>7915.85</v>
      </c>
      <c r="D9" s="26">
        <f t="shared" si="0"/>
        <v>47.11815476190476</v>
      </c>
      <c r="E9" s="49">
        <f t="shared" si="1"/>
        <v>-8884.15</v>
      </c>
    </row>
    <row r="10" spans="1:5" ht="15" customHeight="1">
      <c r="A10" s="16" t="s">
        <v>9</v>
      </c>
      <c r="B10" s="193">
        <f>SUM(B11:B12)</f>
        <v>120000</v>
      </c>
      <c r="C10" s="193">
        <f>SUM(C11:C12)</f>
        <v>7850.54</v>
      </c>
      <c r="D10" s="26">
        <f t="shared" si="0"/>
        <v>6.542116666666667</v>
      </c>
      <c r="E10" s="49">
        <f t="shared" si="1"/>
        <v>-112149.46</v>
      </c>
    </row>
    <row r="11" spans="1:5" ht="12.75" customHeight="1">
      <c r="A11" s="16" t="s">
        <v>39</v>
      </c>
      <c r="B11" s="25">
        <v>60000</v>
      </c>
      <c r="C11" s="27">
        <v>38.38</v>
      </c>
      <c r="D11" s="26">
        <f t="shared" si="0"/>
        <v>0.06396666666666667</v>
      </c>
      <c r="E11" s="49">
        <f t="shared" si="1"/>
        <v>-59961.62</v>
      </c>
    </row>
    <row r="12" spans="1:5" ht="15" customHeight="1">
      <c r="A12" s="16" t="s">
        <v>10</v>
      </c>
      <c r="B12" s="25">
        <v>60000</v>
      </c>
      <c r="C12" s="27">
        <v>7812.16</v>
      </c>
      <c r="D12" s="26">
        <f t="shared" si="0"/>
        <v>13.020266666666666</v>
      </c>
      <c r="E12" s="49">
        <f t="shared" si="1"/>
        <v>-52187.84</v>
      </c>
    </row>
    <row r="13" spans="1:5" ht="27.75" customHeight="1">
      <c r="A13" s="16" t="s">
        <v>126</v>
      </c>
      <c r="B13" s="25">
        <v>0</v>
      </c>
      <c r="C13" s="25">
        <v>0</v>
      </c>
      <c r="D13" s="26" t="str">
        <f t="shared" si="0"/>
        <v>   </v>
      </c>
      <c r="E13" s="49">
        <f t="shared" si="1"/>
        <v>0</v>
      </c>
    </row>
    <row r="14" spans="1:5" ht="27.75" customHeight="1">
      <c r="A14" s="16" t="s">
        <v>40</v>
      </c>
      <c r="B14" s="193">
        <f>SUM(B15:B16)</f>
        <v>130100</v>
      </c>
      <c r="C14" s="193">
        <f>SUM(C15:C16)</f>
        <v>17008.3</v>
      </c>
      <c r="D14" s="26">
        <f t="shared" si="0"/>
        <v>13.073251345119138</v>
      </c>
      <c r="E14" s="49">
        <f t="shared" si="1"/>
        <v>-113091.7</v>
      </c>
    </row>
    <row r="15" spans="1:5" ht="12.75" customHeight="1">
      <c r="A15" s="16" t="s">
        <v>41</v>
      </c>
      <c r="B15" s="25">
        <v>29600</v>
      </c>
      <c r="C15" s="25">
        <v>17008.3</v>
      </c>
      <c r="D15" s="26">
        <f t="shared" si="0"/>
        <v>57.46047297297297</v>
      </c>
      <c r="E15" s="49">
        <f t="shared" si="1"/>
        <v>-12591.7</v>
      </c>
    </row>
    <row r="16" spans="1:5" ht="26.25" customHeight="1">
      <c r="A16" s="16" t="s">
        <v>42</v>
      </c>
      <c r="B16" s="25">
        <v>100500</v>
      </c>
      <c r="C16" s="25">
        <v>0</v>
      </c>
      <c r="D16" s="26">
        <f t="shared" si="0"/>
        <v>0</v>
      </c>
      <c r="E16" s="49">
        <f t="shared" si="1"/>
        <v>-100500</v>
      </c>
    </row>
    <row r="17" spans="1:5" ht="15.75" customHeight="1">
      <c r="A17" s="42" t="s">
        <v>131</v>
      </c>
      <c r="B17" s="25">
        <v>0</v>
      </c>
      <c r="C17" s="27">
        <v>0</v>
      </c>
      <c r="D17" s="26" t="str">
        <f t="shared" si="0"/>
        <v>   </v>
      </c>
      <c r="E17" s="49">
        <f t="shared" si="1"/>
        <v>0</v>
      </c>
    </row>
    <row r="18" spans="1:5" ht="15.75" customHeight="1">
      <c r="A18" s="16" t="s">
        <v>104</v>
      </c>
      <c r="B18" s="191">
        <f>B19</f>
        <v>0</v>
      </c>
      <c r="C18" s="191">
        <f>C19</f>
        <v>4633.88</v>
      </c>
      <c r="D18" s="26" t="str">
        <f t="shared" si="0"/>
        <v>   </v>
      </c>
      <c r="E18" s="49">
        <f t="shared" si="1"/>
        <v>4633.88</v>
      </c>
    </row>
    <row r="19" spans="1:5" ht="27.75" customHeight="1">
      <c r="A19" s="16" t="s">
        <v>105</v>
      </c>
      <c r="B19" s="25">
        <v>0</v>
      </c>
      <c r="C19" s="27">
        <v>4633.88</v>
      </c>
      <c r="D19" s="26" t="str">
        <f t="shared" si="0"/>
        <v>   </v>
      </c>
      <c r="E19" s="49">
        <f t="shared" si="1"/>
        <v>4633.88</v>
      </c>
    </row>
    <row r="20" spans="1:5" ht="13.5" customHeight="1">
      <c r="A20" s="16" t="s">
        <v>44</v>
      </c>
      <c r="B20" s="193">
        <f>SUM(B21:B22)</f>
        <v>0</v>
      </c>
      <c r="C20" s="193">
        <f>SUM(C21:C22)</f>
        <v>742.01</v>
      </c>
      <c r="D20" s="26" t="str">
        <f t="shared" si="0"/>
        <v>   </v>
      </c>
      <c r="E20" s="49">
        <f t="shared" si="1"/>
        <v>742.01</v>
      </c>
    </row>
    <row r="21" spans="1:5" ht="13.5" customHeight="1">
      <c r="A21" s="16" t="s">
        <v>273</v>
      </c>
      <c r="B21" s="25">
        <v>0</v>
      </c>
      <c r="C21" s="25">
        <v>0</v>
      </c>
      <c r="D21" s="26"/>
      <c r="E21" s="49"/>
    </row>
    <row r="22" spans="1:5" ht="15" customHeight="1">
      <c r="A22" s="16" t="s">
        <v>66</v>
      </c>
      <c r="B22" s="25">
        <v>0</v>
      </c>
      <c r="C22" s="27">
        <v>742.01</v>
      </c>
      <c r="D22" s="26" t="str">
        <f t="shared" si="0"/>
        <v>   </v>
      </c>
      <c r="E22" s="49">
        <f t="shared" si="1"/>
        <v>742.01</v>
      </c>
    </row>
    <row r="23" spans="1:5" ht="13.5" customHeight="1">
      <c r="A23" s="16" t="s">
        <v>43</v>
      </c>
      <c r="B23" s="25">
        <v>0</v>
      </c>
      <c r="C23" s="25">
        <v>0</v>
      </c>
      <c r="D23" s="26" t="str">
        <f t="shared" si="0"/>
        <v>   </v>
      </c>
      <c r="E23" s="49">
        <f t="shared" si="1"/>
        <v>0</v>
      </c>
    </row>
    <row r="24" spans="1:5" ht="16.5" customHeight="1">
      <c r="A24" s="164" t="s">
        <v>11</v>
      </c>
      <c r="B24" s="165">
        <f>SUM(B6,B8,B10,B13,B14,B17,B18,B22,B23,)</f>
        <v>363400</v>
      </c>
      <c r="C24" s="165">
        <f>SUM(C6,C8,C10,C13,C14,C17,C18,C20,C23)</f>
        <v>46514.64</v>
      </c>
      <c r="D24" s="166">
        <f t="shared" si="0"/>
        <v>12.79984589983489</v>
      </c>
      <c r="E24" s="167">
        <f t="shared" si="1"/>
        <v>-316885.36</v>
      </c>
    </row>
    <row r="25" spans="1:5" ht="18" customHeight="1">
      <c r="A25" s="17" t="s">
        <v>46</v>
      </c>
      <c r="B25" s="24">
        <v>1113400</v>
      </c>
      <c r="C25" s="24">
        <v>194550</v>
      </c>
      <c r="D25" s="26">
        <f t="shared" si="0"/>
        <v>17.47350458056404</v>
      </c>
      <c r="E25" s="49">
        <f t="shared" si="1"/>
        <v>-918850</v>
      </c>
    </row>
    <row r="26" spans="1:5" ht="15.75" customHeight="1">
      <c r="A26" s="16" t="s">
        <v>63</v>
      </c>
      <c r="B26" s="25">
        <v>100000</v>
      </c>
      <c r="C26" s="27">
        <v>0</v>
      </c>
      <c r="D26" s="26">
        <f t="shared" si="0"/>
        <v>0</v>
      </c>
      <c r="E26" s="49">
        <f t="shared" si="1"/>
        <v>-100000</v>
      </c>
    </row>
    <row r="27" spans="1:5" ht="26.25" customHeight="1">
      <c r="A27" s="200" t="s">
        <v>67</v>
      </c>
      <c r="B27" s="201">
        <v>50300</v>
      </c>
      <c r="C27" s="201">
        <v>8400</v>
      </c>
      <c r="D27" s="202">
        <f t="shared" si="0"/>
        <v>16.69980119284294</v>
      </c>
      <c r="E27" s="203">
        <f t="shared" si="1"/>
        <v>-41900</v>
      </c>
    </row>
    <row r="28" spans="1:5" ht="27.75" customHeight="1">
      <c r="A28" s="204" t="s">
        <v>140</v>
      </c>
      <c r="B28" s="201">
        <v>100</v>
      </c>
      <c r="C28" s="205">
        <v>0</v>
      </c>
      <c r="D28" s="202">
        <f t="shared" si="0"/>
        <v>0</v>
      </c>
      <c r="E28" s="203">
        <f t="shared" si="1"/>
        <v>-100</v>
      </c>
    </row>
    <row r="29" spans="1:5" ht="26.25" customHeight="1">
      <c r="A29" s="16" t="s">
        <v>115</v>
      </c>
      <c r="B29" s="25">
        <v>0</v>
      </c>
      <c r="C29" s="25">
        <v>0</v>
      </c>
      <c r="D29" s="26" t="str">
        <f t="shared" si="0"/>
        <v>   </v>
      </c>
      <c r="E29" s="49">
        <f t="shared" si="1"/>
        <v>0</v>
      </c>
    </row>
    <row r="30" spans="1:5" ht="27" customHeight="1">
      <c r="A30" s="16" t="s">
        <v>170</v>
      </c>
      <c r="B30" s="25">
        <v>0</v>
      </c>
      <c r="C30" s="25">
        <v>0</v>
      </c>
      <c r="D30" s="26" t="str">
        <f t="shared" si="0"/>
        <v>   </v>
      </c>
      <c r="E30" s="49">
        <f t="shared" si="1"/>
        <v>0</v>
      </c>
    </row>
    <row r="31" spans="1:5" ht="30" customHeight="1">
      <c r="A31" s="16" t="s">
        <v>153</v>
      </c>
      <c r="B31" s="25">
        <v>0</v>
      </c>
      <c r="C31" s="25">
        <v>0</v>
      </c>
      <c r="D31" s="26" t="str">
        <f t="shared" si="0"/>
        <v>   </v>
      </c>
      <c r="E31" s="49">
        <f t="shared" si="1"/>
        <v>0</v>
      </c>
    </row>
    <row r="32" spans="1:5" ht="26.25" customHeight="1">
      <c r="A32" s="200" t="s">
        <v>149</v>
      </c>
      <c r="B32" s="201">
        <v>3300</v>
      </c>
      <c r="C32" s="201">
        <v>0</v>
      </c>
      <c r="D32" s="202">
        <f t="shared" si="0"/>
        <v>0</v>
      </c>
      <c r="E32" s="203">
        <f t="shared" si="1"/>
        <v>-3300</v>
      </c>
    </row>
    <row r="33" spans="1:5" ht="40.5" customHeight="1">
      <c r="A33" s="16" t="s">
        <v>154</v>
      </c>
      <c r="B33" s="25">
        <v>0</v>
      </c>
      <c r="C33" s="25">
        <v>0</v>
      </c>
      <c r="D33" s="26" t="str">
        <f t="shared" si="0"/>
        <v>   </v>
      </c>
      <c r="E33" s="49">
        <f t="shared" si="1"/>
        <v>0</v>
      </c>
    </row>
    <row r="34" spans="1:5" ht="15" customHeight="1">
      <c r="A34" s="16" t="s">
        <v>72</v>
      </c>
      <c r="B34" s="194">
        <f>B35</f>
        <v>80200</v>
      </c>
      <c r="C34" s="194">
        <f>C35</f>
        <v>0</v>
      </c>
      <c r="D34" s="26">
        <f t="shared" si="0"/>
        <v>0</v>
      </c>
      <c r="E34" s="49">
        <f t="shared" si="1"/>
        <v>-80200</v>
      </c>
    </row>
    <row r="35" spans="1:5" s="7" customFormat="1" ht="14.25" customHeight="1">
      <c r="A35" s="63" t="s">
        <v>180</v>
      </c>
      <c r="B35" s="64">
        <v>80200</v>
      </c>
      <c r="C35" s="27">
        <v>0</v>
      </c>
      <c r="D35" s="64">
        <f t="shared" si="0"/>
        <v>0</v>
      </c>
      <c r="E35" s="43">
        <f t="shared" si="1"/>
        <v>-80200</v>
      </c>
    </row>
    <row r="36" spans="1:5" ht="18" customHeight="1">
      <c r="A36" s="164" t="s">
        <v>14</v>
      </c>
      <c r="B36" s="214">
        <f>SUM(B24,B25,B26:B34)</f>
        <v>1710700</v>
      </c>
      <c r="C36" s="214">
        <f>SUM(C24,C25,C26:C34,)</f>
        <v>249464.64</v>
      </c>
      <c r="D36" s="166">
        <f t="shared" si="0"/>
        <v>14.582605950780383</v>
      </c>
      <c r="E36" s="167">
        <f t="shared" si="1"/>
        <v>-1461235.3599999999</v>
      </c>
    </row>
    <row r="37" spans="1:5" ht="15" customHeight="1" thickBot="1">
      <c r="A37" s="155" t="s">
        <v>15</v>
      </c>
      <c r="B37" s="156"/>
      <c r="C37" s="157"/>
      <c r="D37" s="169" t="str">
        <f t="shared" si="0"/>
        <v>   </v>
      </c>
      <c r="E37" s="170">
        <f t="shared" si="1"/>
        <v>0</v>
      </c>
    </row>
    <row r="38" spans="1:5" ht="13.5" customHeight="1" thickBot="1">
      <c r="A38" s="186" t="s">
        <v>48</v>
      </c>
      <c r="B38" s="187">
        <v>755700</v>
      </c>
      <c r="C38" s="187">
        <v>69137.6</v>
      </c>
      <c r="D38" s="188">
        <f t="shared" si="0"/>
        <v>9.148815667592961</v>
      </c>
      <c r="E38" s="189">
        <f t="shared" si="1"/>
        <v>-686562.4</v>
      </c>
    </row>
    <row r="39" spans="1:5" ht="15.75" customHeight="1">
      <c r="A39" s="174" t="s">
        <v>49</v>
      </c>
      <c r="B39" s="175">
        <v>755200</v>
      </c>
      <c r="C39" s="175">
        <v>69137.6</v>
      </c>
      <c r="D39" s="176">
        <f t="shared" si="0"/>
        <v>9.154872881355933</v>
      </c>
      <c r="E39" s="177">
        <f t="shared" si="1"/>
        <v>-686062.4</v>
      </c>
    </row>
    <row r="40" spans="1:5" ht="14.25" customHeight="1">
      <c r="A40" s="118" t="s">
        <v>207</v>
      </c>
      <c r="B40" s="25">
        <v>476900</v>
      </c>
      <c r="C40" s="28">
        <v>46845.82</v>
      </c>
      <c r="D40" s="26">
        <f t="shared" si="0"/>
        <v>9.82298595093311</v>
      </c>
      <c r="E40" s="49">
        <f t="shared" si="1"/>
        <v>-430054.18</v>
      </c>
    </row>
    <row r="41" spans="1:5" ht="12.75">
      <c r="A41" s="16" t="s">
        <v>181</v>
      </c>
      <c r="B41" s="25">
        <v>100</v>
      </c>
      <c r="C41" s="28">
        <v>0</v>
      </c>
      <c r="D41" s="26">
        <f t="shared" si="0"/>
        <v>0</v>
      </c>
      <c r="E41" s="49">
        <f t="shared" si="1"/>
        <v>-100</v>
      </c>
    </row>
    <row r="42" spans="1:5" ht="12.75" customHeight="1">
      <c r="A42" s="16" t="s">
        <v>141</v>
      </c>
      <c r="B42" s="25">
        <v>500</v>
      </c>
      <c r="C42" s="27">
        <v>0</v>
      </c>
      <c r="D42" s="26">
        <f t="shared" si="0"/>
        <v>0</v>
      </c>
      <c r="E42" s="49">
        <f t="shared" si="1"/>
        <v>-500</v>
      </c>
    </row>
    <row r="43" spans="1:5" ht="12.75" customHeight="1">
      <c r="A43" s="16" t="s">
        <v>69</v>
      </c>
      <c r="B43" s="193">
        <f>B44</f>
        <v>0</v>
      </c>
      <c r="C43" s="193">
        <f>C44</f>
        <v>0</v>
      </c>
      <c r="D43" s="26" t="str">
        <f t="shared" si="0"/>
        <v>   </v>
      </c>
      <c r="E43" s="49">
        <f t="shared" si="1"/>
        <v>0</v>
      </c>
    </row>
    <row r="44" spans="1:5" ht="24" customHeight="1" thickBot="1">
      <c r="A44" s="154" t="s">
        <v>85</v>
      </c>
      <c r="B44" s="171">
        <v>0</v>
      </c>
      <c r="C44" s="172">
        <v>0</v>
      </c>
      <c r="D44" s="26" t="str">
        <f t="shared" si="0"/>
        <v>   </v>
      </c>
      <c r="E44" s="49">
        <f t="shared" si="1"/>
        <v>0</v>
      </c>
    </row>
    <row r="45" spans="1:5" ht="14.25" customHeight="1" thickBot="1">
      <c r="A45" s="186" t="s">
        <v>65</v>
      </c>
      <c r="B45" s="195">
        <f>SUM(B46)</f>
        <v>50300</v>
      </c>
      <c r="C45" s="195">
        <f>SUM(C46)</f>
        <v>3988.76</v>
      </c>
      <c r="D45" s="188">
        <f t="shared" si="0"/>
        <v>7.929940357852883</v>
      </c>
      <c r="E45" s="189">
        <f t="shared" si="1"/>
        <v>-46311.24</v>
      </c>
    </row>
    <row r="46" spans="1:5" ht="13.5" customHeight="1" thickBot="1">
      <c r="A46" s="178" t="s">
        <v>176</v>
      </c>
      <c r="B46" s="179">
        <v>50300</v>
      </c>
      <c r="C46" s="236">
        <v>3988.76</v>
      </c>
      <c r="D46" s="181">
        <f t="shared" si="0"/>
        <v>7.929940357852883</v>
      </c>
      <c r="E46" s="182">
        <f t="shared" si="1"/>
        <v>-46311.24</v>
      </c>
    </row>
    <row r="47" spans="1:5" ht="17.25" customHeight="1" thickBot="1">
      <c r="A47" s="186" t="s">
        <v>50</v>
      </c>
      <c r="B47" s="196">
        <f>SUM(B48)</f>
        <v>500</v>
      </c>
      <c r="C47" s="195">
        <f>SUM(C48)</f>
        <v>0</v>
      </c>
      <c r="D47" s="188">
        <f t="shared" si="0"/>
        <v>0</v>
      </c>
      <c r="E47" s="189">
        <f t="shared" si="1"/>
        <v>-500</v>
      </c>
    </row>
    <row r="48" spans="1:5" ht="27" customHeight="1">
      <c r="A48" s="145" t="s">
        <v>129</v>
      </c>
      <c r="B48" s="175">
        <v>500</v>
      </c>
      <c r="C48" s="183">
        <f>C49</f>
        <v>0</v>
      </c>
      <c r="D48" s="176">
        <f t="shared" si="0"/>
        <v>0</v>
      </c>
      <c r="E48" s="177">
        <f t="shared" si="1"/>
        <v>-500</v>
      </c>
    </row>
    <row r="49" spans="1:5" ht="15" customHeight="1">
      <c r="A49" s="247" t="s">
        <v>51</v>
      </c>
      <c r="B49" s="171">
        <f>B50</f>
        <v>160200</v>
      </c>
      <c r="C49" s="171">
        <f>C50</f>
        <v>0</v>
      </c>
      <c r="D49" s="169">
        <f t="shared" si="0"/>
        <v>0</v>
      </c>
      <c r="E49" s="170">
        <f t="shared" si="1"/>
        <v>-160200</v>
      </c>
    </row>
    <row r="50" spans="1:5" ht="15" customHeight="1">
      <c r="A50" s="248" t="s">
        <v>287</v>
      </c>
      <c r="B50" s="25">
        <f>B51+B52</f>
        <v>160200</v>
      </c>
      <c r="C50" s="25">
        <f>C51+C52</f>
        <v>0</v>
      </c>
      <c r="D50" s="26"/>
      <c r="E50" s="27"/>
    </row>
    <row r="51" spans="1:5" ht="30" customHeight="1">
      <c r="A51" s="248" t="s">
        <v>288</v>
      </c>
      <c r="B51" s="25">
        <v>80200</v>
      </c>
      <c r="C51" s="25">
        <v>0</v>
      </c>
      <c r="D51" s="26"/>
      <c r="E51" s="27"/>
    </row>
    <row r="52" spans="1:5" ht="31.5" customHeight="1">
      <c r="A52" s="248" t="s">
        <v>289</v>
      </c>
      <c r="B52" s="25">
        <v>80000</v>
      </c>
      <c r="C52" s="25">
        <v>0</v>
      </c>
      <c r="D52" s="26"/>
      <c r="E52" s="27"/>
    </row>
    <row r="53" spans="1:5" ht="15" customHeight="1" thickBot="1">
      <c r="A53" s="243" t="s">
        <v>16</v>
      </c>
      <c r="B53" s="244">
        <f>SUM(B56,B54)</f>
        <v>150000</v>
      </c>
      <c r="C53" s="244">
        <f>SUM(C56,C54)</f>
        <v>64400</v>
      </c>
      <c r="D53" s="245">
        <f t="shared" si="0"/>
        <v>42.93333333333334</v>
      </c>
      <c r="E53" s="246">
        <f t="shared" si="1"/>
        <v>-85600</v>
      </c>
    </row>
    <row r="54" spans="1:5" ht="15" customHeight="1">
      <c r="A54" s="174" t="s">
        <v>130</v>
      </c>
      <c r="B54" s="199">
        <f>B55</f>
        <v>0</v>
      </c>
      <c r="C54" s="199">
        <f>C55</f>
        <v>0</v>
      </c>
      <c r="D54" s="176" t="str">
        <f t="shared" si="0"/>
        <v>   </v>
      </c>
      <c r="E54" s="177">
        <f t="shared" si="1"/>
        <v>0</v>
      </c>
    </row>
    <row r="55" spans="1:5" ht="15" customHeight="1">
      <c r="A55" s="118" t="s">
        <v>231</v>
      </c>
      <c r="B55" s="25">
        <v>0</v>
      </c>
      <c r="C55" s="25">
        <v>0</v>
      </c>
      <c r="D55" s="26" t="str">
        <f t="shared" si="0"/>
        <v>   </v>
      </c>
      <c r="E55" s="49">
        <f t="shared" si="1"/>
        <v>0</v>
      </c>
    </row>
    <row r="56" spans="1:5" ht="15" customHeight="1">
      <c r="A56" s="16" t="s">
        <v>79</v>
      </c>
      <c r="B56" s="25">
        <v>150000</v>
      </c>
      <c r="C56" s="25">
        <v>64400</v>
      </c>
      <c r="D56" s="26">
        <f t="shared" si="0"/>
        <v>42.93333333333334</v>
      </c>
      <c r="E56" s="49">
        <f t="shared" si="1"/>
        <v>-85600</v>
      </c>
    </row>
    <row r="57" spans="1:5" ht="15" customHeight="1">
      <c r="A57" s="16" t="s">
        <v>81</v>
      </c>
      <c r="B57" s="25">
        <v>130000</v>
      </c>
      <c r="C57" s="27">
        <v>64400</v>
      </c>
      <c r="D57" s="26">
        <f t="shared" si="0"/>
        <v>49.53846153846154</v>
      </c>
      <c r="E57" s="49">
        <f t="shared" si="1"/>
        <v>-65600</v>
      </c>
    </row>
    <row r="58" spans="1:5" ht="15" customHeight="1" thickBot="1">
      <c r="A58" s="154" t="s">
        <v>80</v>
      </c>
      <c r="B58" s="171">
        <v>20000</v>
      </c>
      <c r="C58" s="172">
        <v>0</v>
      </c>
      <c r="D58" s="169">
        <f t="shared" si="0"/>
        <v>0</v>
      </c>
      <c r="E58" s="170">
        <f t="shared" si="1"/>
        <v>-20000</v>
      </c>
    </row>
    <row r="59" spans="1:5" ht="15" customHeight="1" thickBot="1">
      <c r="A59" s="190" t="s">
        <v>24</v>
      </c>
      <c r="B59" s="148">
        <v>5000</v>
      </c>
      <c r="C59" s="148">
        <v>0</v>
      </c>
      <c r="D59" s="188">
        <f t="shared" si="0"/>
        <v>0</v>
      </c>
      <c r="E59" s="189">
        <f t="shared" si="1"/>
        <v>-5000</v>
      </c>
    </row>
    <row r="60" spans="1:5" ht="13.5" customHeight="1" thickBot="1">
      <c r="A60" s="186" t="s">
        <v>54</v>
      </c>
      <c r="B60" s="197">
        <f>B61</f>
        <v>495600</v>
      </c>
      <c r="C60" s="197">
        <f>C61</f>
        <v>80400</v>
      </c>
      <c r="D60" s="188">
        <f t="shared" si="0"/>
        <v>16.222760290556902</v>
      </c>
      <c r="E60" s="189">
        <f t="shared" si="1"/>
        <v>-415200</v>
      </c>
    </row>
    <row r="61" spans="1:5" ht="12.75">
      <c r="A61" s="174" t="s">
        <v>55</v>
      </c>
      <c r="B61" s="175">
        <v>495600</v>
      </c>
      <c r="C61" s="183">
        <v>80400</v>
      </c>
      <c r="D61" s="176">
        <f t="shared" si="0"/>
        <v>16.222760290556902</v>
      </c>
      <c r="E61" s="177">
        <f t="shared" si="1"/>
        <v>-415200</v>
      </c>
    </row>
    <row r="62" spans="1:5" ht="15.75" customHeight="1">
      <c r="A62" s="118" t="s">
        <v>208</v>
      </c>
      <c r="B62" s="25">
        <v>0</v>
      </c>
      <c r="C62" s="27">
        <v>0</v>
      </c>
      <c r="D62" s="26" t="str">
        <f t="shared" si="0"/>
        <v>   </v>
      </c>
      <c r="E62" s="49">
        <f t="shared" si="1"/>
        <v>0</v>
      </c>
    </row>
    <row r="63" spans="1:5" ht="12.75">
      <c r="A63" s="200" t="s">
        <v>172</v>
      </c>
      <c r="B63" s="225">
        <f>SUM(B64:B66)</f>
        <v>0</v>
      </c>
      <c r="C63" s="225">
        <f>SUM(C64:C66)</f>
        <v>0</v>
      </c>
      <c r="D63" s="202" t="str">
        <f t="shared" si="0"/>
        <v>   </v>
      </c>
      <c r="E63" s="203">
        <f t="shared" si="1"/>
        <v>0</v>
      </c>
    </row>
    <row r="64" spans="1:5" ht="12.75">
      <c r="A64" s="200" t="s">
        <v>173</v>
      </c>
      <c r="B64" s="201">
        <v>0</v>
      </c>
      <c r="C64" s="205">
        <v>0</v>
      </c>
      <c r="D64" s="202" t="str">
        <f t="shared" si="0"/>
        <v>   </v>
      </c>
      <c r="E64" s="203">
        <f t="shared" si="1"/>
        <v>0</v>
      </c>
    </row>
    <row r="65" spans="1:5" ht="13.5" customHeight="1">
      <c r="A65" s="200" t="s">
        <v>201</v>
      </c>
      <c r="B65" s="201">
        <v>0</v>
      </c>
      <c r="C65" s="205">
        <v>0</v>
      </c>
      <c r="D65" s="202" t="str">
        <f t="shared" si="0"/>
        <v>   </v>
      </c>
      <c r="E65" s="203">
        <f t="shared" si="1"/>
        <v>0</v>
      </c>
    </row>
    <row r="66" spans="1:5" ht="13.5" customHeight="1">
      <c r="A66" s="200" t="s">
        <v>174</v>
      </c>
      <c r="B66" s="201">
        <v>0</v>
      </c>
      <c r="C66" s="205">
        <v>0</v>
      </c>
      <c r="D66" s="202" t="str">
        <f t="shared" si="0"/>
        <v>   </v>
      </c>
      <c r="E66" s="203">
        <f t="shared" si="1"/>
        <v>0</v>
      </c>
    </row>
    <row r="67" spans="1:5" ht="13.5" customHeight="1">
      <c r="A67" s="16" t="s">
        <v>177</v>
      </c>
      <c r="B67" s="25">
        <v>3300</v>
      </c>
      <c r="C67" s="27">
        <v>0</v>
      </c>
      <c r="D67" s="26">
        <f t="shared" si="0"/>
        <v>0</v>
      </c>
      <c r="E67" s="49">
        <f t="shared" si="1"/>
        <v>-3300</v>
      </c>
    </row>
    <row r="68" spans="1:5" ht="13.5" customHeight="1">
      <c r="A68" s="16" t="s">
        <v>215</v>
      </c>
      <c r="B68" s="193">
        <f>SUM(B69,)</f>
        <v>20000</v>
      </c>
      <c r="C68" s="193">
        <f>SUM(C69,)</f>
        <v>0</v>
      </c>
      <c r="D68" s="26">
        <f t="shared" si="0"/>
        <v>0</v>
      </c>
      <c r="E68" s="49">
        <f t="shared" si="1"/>
        <v>-20000</v>
      </c>
    </row>
    <row r="69" spans="1:5" ht="14.25" customHeight="1" thickBot="1">
      <c r="A69" s="154" t="s">
        <v>56</v>
      </c>
      <c r="B69" s="171">
        <v>20000</v>
      </c>
      <c r="C69" s="173">
        <v>0</v>
      </c>
      <c r="D69" s="169">
        <f t="shared" si="0"/>
        <v>0</v>
      </c>
      <c r="E69" s="170">
        <f t="shared" si="1"/>
        <v>-20000</v>
      </c>
    </row>
    <row r="70" spans="1:5" ht="13.5" thickBot="1">
      <c r="A70" s="186" t="s">
        <v>18</v>
      </c>
      <c r="B70" s="196">
        <f>B71</f>
        <v>73400</v>
      </c>
      <c r="C70" s="196">
        <f>C71</f>
        <v>0</v>
      </c>
      <c r="D70" s="188">
        <f aca="true" t="shared" si="2" ref="D70:D93">IF(B70=0,"   ",C70/B70*100)</f>
        <v>0</v>
      </c>
      <c r="E70" s="189">
        <f t="shared" si="1"/>
        <v>-73400</v>
      </c>
    </row>
    <row r="71" spans="1:5" ht="12.75">
      <c r="A71" s="174" t="s">
        <v>222</v>
      </c>
      <c r="B71" s="199">
        <f>SUM(B88,B81,B72)</f>
        <v>73400</v>
      </c>
      <c r="C71" s="199">
        <f>SUM(C88,C81,C72)</f>
        <v>0</v>
      </c>
      <c r="D71" s="176">
        <f t="shared" si="2"/>
        <v>0</v>
      </c>
      <c r="E71" s="177">
        <f t="shared" si="1"/>
        <v>-73400</v>
      </c>
    </row>
    <row r="72" spans="1:5" ht="12.75">
      <c r="A72" s="158" t="s">
        <v>254</v>
      </c>
      <c r="B72" s="198">
        <f>SUM(B73,B77)</f>
        <v>73400</v>
      </c>
      <c r="C72" s="198">
        <f>C73+C77</f>
        <v>0</v>
      </c>
      <c r="D72" s="26">
        <f t="shared" si="2"/>
        <v>0</v>
      </c>
      <c r="E72" s="49">
        <f t="shared" si="1"/>
        <v>-73400</v>
      </c>
    </row>
    <row r="73" spans="1:5" ht="12.75">
      <c r="A73" s="118" t="s">
        <v>227</v>
      </c>
      <c r="B73" s="211">
        <f>SUM(B74:B76)</f>
        <v>73400</v>
      </c>
      <c r="C73" s="211">
        <f>SUM(C74:C76)</f>
        <v>0</v>
      </c>
      <c r="D73" s="26">
        <f t="shared" si="2"/>
        <v>0</v>
      </c>
      <c r="E73" s="49">
        <f t="shared" si="1"/>
        <v>-73400</v>
      </c>
    </row>
    <row r="74" spans="1:5" ht="14.25" customHeight="1">
      <c r="A74" s="47" t="s">
        <v>234</v>
      </c>
      <c r="B74" s="116">
        <v>0</v>
      </c>
      <c r="C74" s="25">
        <v>0</v>
      </c>
      <c r="D74" s="26" t="str">
        <f t="shared" si="2"/>
        <v>   </v>
      </c>
      <c r="E74" s="49">
        <f t="shared" si="1"/>
        <v>0</v>
      </c>
    </row>
    <row r="75" spans="1:5" ht="12.75">
      <c r="A75" s="47" t="s">
        <v>235</v>
      </c>
      <c r="B75" s="116">
        <v>0</v>
      </c>
      <c r="C75" s="25"/>
      <c r="D75" s="26" t="str">
        <f t="shared" si="2"/>
        <v>   </v>
      </c>
      <c r="E75" s="49">
        <f t="shared" si="1"/>
        <v>0</v>
      </c>
    </row>
    <row r="76" spans="1:5" ht="12.75">
      <c r="A76" s="47" t="s">
        <v>236</v>
      </c>
      <c r="B76" s="116">
        <v>73400</v>
      </c>
      <c r="C76" s="25">
        <v>0</v>
      </c>
      <c r="D76" s="26">
        <f t="shared" si="2"/>
        <v>0</v>
      </c>
      <c r="E76" s="49">
        <f t="shared" si="1"/>
        <v>-73400</v>
      </c>
    </row>
    <row r="77" spans="1:5" ht="25.5">
      <c r="A77" s="118" t="s">
        <v>226</v>
      </c>
      <c r="B77" s="211">
        <f>SUM(B78:B80)</f>
        <v>0</v>
      </c>
      <c r="C77" s="211">
        <f>SUM(C78:C80)</f>
        <v>0</v>
      </c>
      <c r="D77" s="26" t="str">
        <f t="shared" si="2"/>
        <v>   </v>
      </c>
      <c r="E77" s="49">
        <f t="shared" si="1"/>
        <v>0</v>
      </c>
    </row>
    <row r="78" spans="1:5" ht="12.75">
      <c r="A78" s="47" t="s">
        <v>234</v>
      </c>
      <c r="B78" s="116">
        <v>0</v>
      </c>
      <c r="C78" s="25">
        <v>0</v>
      </c>
      <c r="D78" s="26" t="str">
        <f t="shared" si="2"/>
        <v>   </v>
      </c>
      <c r="E78" s="49">
        <f t="shared" si="1"/>
        <v>0</v>
      </c>
    </row>
    <row r="79" spans="1:5" ht="12.75">
      <c r="A79" s="47" t="s">
        <v>235</v>
      </c>
      <c r="C79" s="25"/>
      <c r="D79" s="26" t="str">
        <f t="shared" si="2"/>
        <v>   </v>
      </c>
      <c r="E79" s="49">
        <f t="shared" si="1"/>
        <v>0</v>
      </c>
    </row>
    <row r="80" spans="1:5" ht="12.75">
      <c r="A80" s="47" t="s">
        <v>236</v>
      </c>
      <c r="B80" s="116"/>
      <c r="C80" s="25"/>
      <c r="D80" s="26" t="str">
        <f t="shared" si="2"/>
        <v>   </v>
      </c>
      <c r="E80" s="49">
        <f t="shared" si="1"/>
        <v>0</v>
      </c>
    </row>
    <row r="81" spans="1:5" ht="12.75">
      <c r="A81" s="158" t="s">
        <v>255</v>
      </c>
      <c r="B81" s="198">
        <f>SUM(B82,B85)</f>
        <v>0</v>
      </c>
      <c r="C81" s="198">
        <f>SUM(C82:C85)</f>
        <v>0</v>
      </c>
      <c r="D81" s="26" t="str">
        <f t="shared" si="2"/>
        <v>   </v>
      </c>
      <c r="E81" s="49">
        <f t="shared" si="1"/>
        <v>0</v>
      </c>
    </row>
    <row r="82" spans="1:5" ht="12.75">
      <c r="A82" s="118" t="s">
        <v>227</v>
      </c>
      <c r="B82" s="211">
        <f>SUM(B83:B84)</f>
        <v>0</v>
      </c>
      <c r="C82" s="211">
        <f>SUM(C83:C84)</f>
        <v>0</v>
      </c>
      <c r="D82" s="26" t="str">
        <f t="shared" si="2"/>
        <v>   </v>
      </c>
      <c r="E82" s="49">
        <f t="shared" si="1"/>
        <v>0</v>
      </c>
    </row>
    <row r="83" spans="1:5" ht="18" customHeight="1">
      <c r="A83" s="47" t="s">
        <v>235</v>
      </c>
      <c r="B83" s="116">
        <v>0</v>
      </c>
      <c r="C83" s="27">
        <v>0</v>
      </c>
      <c r="D83" s="26" t="str">
        <f t="shared" si="2"/>
        <v>   </v>
      </c>
      <c r="E83" s="49">
        <f t="shared" si="1"/>
        <v>0</v>
      </c>
    </row>
    <row r="84" spans="1:5" ht="13.5" customHeight="1">
      <c r="A84" s="47" t="s">
        <v>236</v>
      </c>
      <c r="B84" s="116">
        <v>0</v>
      </c>
      <c r="C84" s="27">
        <v>0</v>
      </c>
      <c r="D84" s="26" t="str">
        <f t="shared" si="2"/>
        <v>   </v>
      </c>
      <c r="E84" s="49">
        <f t="shared" si="1"/>
        <v>0</v>
      </c>
    </row>
    <row r="85" spans="1:5" ht="13.5" customHeight="1">
      <c r="A85" s="118" t="s">
        <v>226</v>
      </c>
      <c r="B85" s="211">
        <f>SUM(B86:B87)</f>
        <v>0</v>
      </c>
      <c r="C85" s="211">
        <f>SUM(C86:C87)</f>
        <v>0</v>
      </c>
      <c r="D85" s="26" t="str">
        <f t="shared" si="2"/>
        <v>   </v>
      </c>
      <c r="E85" s="49">
        <f t="shared" si="1"/>
        <v>0</v>
      </c>
    </row>
    <row r="86" spans="1:5" ht="13.5" customHeight="1">
      <c r="A86" s="47" t="s">
        <v>235</v>
      </c>
      <c r="B86" s="241">
        <v>0</v>
      </c>
      <c r="C86" s="27">
        <v>0</v>
      </c>
      <c r="D86" s="26" t="str">
        <f t="shared" si="2"/>
        <v>   </v>
      </c>
      <c r="E86" s="49">
        <f t="shared" si="1"/>
        <v>0</v>
      </c>
    </row>
    <row r="87" spans="1:5" ht="27" customHeight="1">
      <c r="A87" s="47" t="s">
        <v>236</v>
      </c>
      <c r="B87" s="116">
        <v>0</v>
      </c>
      <c r="C87" s="27">
        <v>0</v>
      </c>
      <c r="D87" s="26" t="str">
        <f t="shared" si="2"/>
        <v>   </v>
      </c>
      <c r="E87" s="49">
        <f t="shared" si="1"/>
        <v>0</v>
      </c>
    </row>
    <row r="88" spans="1:5" ht="15.75" customHeight="1">
      <c r="A88" s="158" t="s">
        <v>228</v>
      </c>
      <c r="B88" s="198">
        <f>SUM(B89:B91)</f>
        <v>0</v>
      </c>
      <c r="C88" s="198">
        <f>SUM(C89:C91)</f>
        <v>0</v>
      </c>
      <c r="D88" s="26" t="str">
        <f t="shared" si="2"/>
        <v>   </v>
      </c>
      <c r="E88" s="49">
        <f t="shared" si="1"/>
        <v>0</v>
      </c>
    </row>
    <row r="89" spans="1:5" ht="15" customHeight="1">
      <c r="A89" s="47" t="s">
        <v>234</v>
      </c>
      <c r="B89" s="120">
        <v>0</v>
      </c>
      <c r="C89" s="121">
        <v>0</v>
      </c>
      <c r="D89" s="26" t="str">
        <f t="shared" si="2"/>
        <v>   </v>
      </c>
      <c r="E89" s="49">
        <f t="shared" si="1"/>
        <v>0</v>
      </c>
    </row>
    <row r="90" spans="1:5" ht="15.75" customHeight="1">
      <c r="A90" s="47" t="s">
        <v>235</v>
      </c>
      <c r="B90" s="120">
        <v>0</v>
      </c>
      <c r="C90" s="121">
        <v>0</v>
      </c>
      <c r="D90" s="26" t="str">
        <f t="shared" si="2"/>
        <v>   </v>
      </c>
      <c r="E90" s="49">
        <f t="shared" si="1"/>
        <v>0</v>
      </c>
    </row>
    <row r="91" spans="1:5" ht="12" customHeight="1">
      <c r="A91" s="47" t="s">
        <v>236</v>
      </c>
      <c r="B91" s="120">
        <v>0</v>
      </c>
      <c r="C91" s="121">
        <v>0</v>
      </c>
      <c r="D91" s="26" t="str">
        <f t="shared" si="2"/>
        <v>   </v>
      </c>
      <c r="E91" s="49">
        <f t="shared" si="1"/>
        <v>0</v>
      </c>
    </row>
    <row r="92" spans="1:5" ht="13.5" customHeight="1">
      <c r="A92" s="164" t="s">
        <v>19</v>
      </c>
      <c r="B92" s="168">
        <f>SUM(B38,B45,B47,B49,B53,B59,B60,B68,B70,)</f>
        <v>1710700</v>
      </c>
      <c r="C92" s="168">
        <f>SUM(C38,C45,C47,C49,C53,C59,C60,C68,C70,)</f>
        <v>217926.36</v>
      </c>
      <c r="D92" s="166">
        <f t="shared" si="2"/>
        <v>12.739016776758053</v>
      </c>
      <c r="E92" s="167">
        <f t="shared" si="1"/>
        <v>-1492773.6400000001</v>
      </c>
    </row>
    <row r="93" spans="1:5" ht="13.5" customHeight="1" thickBot="1">
      <c r="A93" s="98" t="s">
        <v>211</v>
      </c>
      <c r="B93" s="212">
        <f>B40+B62</f>
        <v>476900</v>
      </c>
      <c r="C93" s="212">
        <f>C40+C62</f>
        <v>46845.82</v>
      </c>
      <c r="D93" s="99">
        <f t="shared" si="2"/>
        <v>9.82298595093311</v>
      </c>
      <c r="E93" s="100">
        <f t="shared" si="1"/>
        <v>-430054.18</v>
      </c>
    </row>
    <row r="94" spans="1:5" ht="18.75" customHeight="1">
      <c r="A94" s="110" t="s">
        <v>251</v>
      </c>
      <c r="B94" s="110"/>
      <c r="C94" s="250"/>
      <c r="D94" s="250"/>
      <c r="E94" s="250"/>
    </row>
    <row r="95" spans="1:5" ht="18" customHeight="1">
      <c r="A95" s="110" t="s">
        <v>250</v>
      </c>
      <c r="B95" s="110"/>
      <c r="C95" s="111" t="s">
        <v>252</v>
      </c>
      <c r="D95" s="112"/>
      <c r="E95" s="113"/>
    </row>
    <row r="96" spans="1:5" s="76" customFormat="1" ht="23.25" customHeight="1">
      <c r="A96" s="7"/>
      <c r="B96" s="7"/>
      <c r="C96" s="6"/>
      <c r="D96" s="7"/>
      <c r="E96" s="2"/>
    </row>
    <row r="97" spans="1:5" s="76" customFormat="1" ht="12" customHeight="1">
      <c r="A97" s="7"/>
      <c r="B97" s="7"/>
      <c r="C97" s="6"/>
      <c r="D97" s="7"/>
      <c r="E97" s="2"/>
    </row>
    <row r="98" spans="1:5" ht="12.75">
      <c r="A98" s="7"/>
      <c r="B98" s="7"/>
      <c r="C98" s="6"/>
      <c r="D98" s="7"/>
      <c r="E98" s="2"/>
    </row>
    <row r="99" spans="1:5" ht="12.75">
      <c r="A99" s="7"/>
      <c r="B99" s="7"/>
      <c r="C99" s="6"/>
      <c r="D99" s="7"/>
      <c r="E99" s="2"/>
    </row>
  </sheetData>
  <mergeCells count="2">
    <mergeCell ref="A1:E1"/>
    <mergeCell ref="C94:E94"/>
  </mergeCells>
  <printOptions/>
  <pageMargins left="0.984251968503937" right="0.7874015748031497" top="0.3937007874015748" bottom="0.3937007874015748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3"/>
  <sheetViews>
    <sheetView workbookViewId="0" topLeftCell="A43">
      <selection activeCell="B54" sqref="B54"/>
    </sheetView>
  </sheetViews>
  <sheetFormatPr defaultColWidth="9.00390625" defaultRowHeight="12.75"/>
  <cols>
    <col min="1" max="1" width="99.125" style="0" customWidth="1"/>
    <col min="2" max="2" width="17.375" style="0" customWidth="1"/>
    <col min="3" max="3" width="16.25390625" style="0" customWidth="1"/>
    <col min="4" max="4" width="15.875" style="0" customWidth="1"/>
    <col min="5" max="5" width="15.375" style="0" customWidth="1"/>
  </cols>
  <sheetData>
    <row r="1" spans="1:5" ht="18">
      <c r="A1" s="252" t="s">
        <v>309</v>
      </c>
      <c r="B1" s="252"/>
      <c r="C1" s="252"/>
      <c r="D1" s="252"/>
      <c r="E1" s="252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74.25" customHeight="1">
      <c r="A4" s="35" t="s">
        <v>1</v>
      </c>
      <c r="B4" s="19" t="s">
        <v>284</v>
      </c>
      <c r="C4" s="32" t="s">
        <v>305</v>
      </c>
      <c r="D4" s="19" t="s">
        <v>280</v>
      </c>
      <c r="E4" s="101" t="s">
        <v>285</v>
      </c>
    </row>
    <row r="5" spans="1:5" ht="12.75">
      <c r="A5" s="13">
        <v>1</v>
      </c>
      <c r="B5" s="97">
        <v>2</v>
      </c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5" customHeight="1">
      <c r="A7" s="17" t="s">
        <v>58</v>
      </c>
      <c r="B7" s="191">
        <f>SUM(B8)</f>
        <v>90600</v>
      </c>
      <c r="C7" s="191">
        <f>SUM(C8)</f>
        <v>9006.48</v>
      </c>
      <c r="D7" s="26">
        <f aca="true" t="shared" si="0" ref="D7:D71">IF(B7=0,"   ",C7/B7*100)</f>
        <v>9.94092715231788</v>
      </c>
      <c r="E7" s="49">
        <f aca="true" t="shared" si="1" ref="E7:E87">C7-B7</f>
        <v>-81593.52</v>
      </c>
    </row>
    <row r="8" spans="1:5" ht="12.75" customHeight="1">
      <c r="A8" s="16" t="s">
        <v>57</v>
      </c>
      <c r="B8" s="25">
        <v>90600</v>
      </c>
      <c r="C8" s="27">
        <v>9006.48</v>
      </c>
      <c r="D8" s="26">
        <f t="shared" si="0"/>
        <v>9.94092715231788</v>
      </c>
      <c r="E8" s="49">
        <f t="shared" si="1"/>
        <v>-81593.52</v>
      </c>
    </row>
    <row r="9" spans="1:5" ht="16.5" customHeight="1">
      <c r="A9" s="16" t="s">
        <v>7</v>
      </c>
      <c r="B9" s="193">
        <f>SUM(B10:B10)</f>
        <v>24300</v>
      </c>
      <c r="C9" s="193">
        <f>SUM(C10:C10)</f>
        <v>232.05</v>
      </c>
      <c r="D9" s="26">
        <f t="shared" si="0"/>
        <v>0.9549382716049384</v>
      </c>
      <c r="E9" s="49">
        <f t="shared" si="1"/>
        <v>-24067.95</v>
      </c>
    </row>
    <row r="10" spans="1:5" ht="16.5" customHeight="1">
      <c r="A10" s="16" t="s">
        <v>38</v>
      </c>
      <c r="B10" s="25">
        <v>24300</v>
      </c>
      <c r="C10" s="27">
        <v>232.05</v>
      </c>
      <c r="D10" s="26">
        <f t="shared" si="0"/>
        <v>0.9549382716049384</v>
      </c>
      <c r="E10" s="49">
        <f t="shared" si="1"/>
        <v>-24067.95</v>
      </c>
    </row>
    <row r="11" spans="1:5" ht="15.75" customHeight="1">
      <c r="A11" s="16" t="s">
        <v>9</v>
      </c>
      <c r="B11" s="193">
        <f>SUM(B12:B13)</f>
        <v>290200</v>
      </c>
      <c r="C11" s="193">
        <f>SUM(C12:C13)</f>
        <v>33277.549999999996</v>
      </c>
      <c r="D11" s="26">
        <f t="shared" si="0"/>
        <v>11.467108890420398</v>
      </c>
      <c r="E11" s="49">
        <f t="shared" si="1"/>
        <v>-256922.45</v>
      </c>
    </row>
    <row r="12" spans="1:5" ht="15.75" customHeight="1">
      <c r="A12" s="16" t="s">
        <v>39</v>
      </c>
      <c r="B12" s="25">
        <v>40200</v>
      </c>
      <c r="C12" s="27">
        <v>278.06</v>
      </c>
      <c r="D12" s="26">
        <f t="shared" si="0"/>
        <v>0.6916915422885572</v>
      </c>
      <c r="E12" s="49">
        <f t="shared" si="1"/>
        <v>-39921.94</v>
      </c>
    </row>
    <row r="13" spans="1:5" ht="14.25" customHeight="1">
      <c r="A13" s="16" t="s">
        <v>10</v>
      </c>
      <c r="B13" s="25">
        <v>250000</v>
      </c>
      <c r="C13" s="27">
        <v>32999.49</v>
      </c>
      <c r="D13" s="26">
        <f t="shared" si="0"/>
        <v>13.199796</v>
      </c>
      <c r="E13" s="49">
        <f t="shared" si="1"/>
        <v>-217000.51</v>
      </c>
    </row>
    <row r="14" spans="1:5" ht="27.75" customHeight="1">
      <c r="A14" s="16" t="s">
        <v>126</v>
      </c>
      <c r="B14" s="25">
        <v>0</v>
      </c>
      <c r="C14" s="25">
        <v>0</v>
      </c>
      <c r="D14" s="26" t="str">
        <f t="shared" si="0"/>
        <v>   </v>
      </c>
      <c r="E14" s="49">
        <f t="shared" si="1"/>
        <v>0</v>
      </c>
    </row>
    <row r="15" spans="1:5" ht="24.75" customHeight="1">
      <c r="A15" s="16" t="s">
        <v>40</v>
      </c>
      <c r="B15" s="193">
        <f>SUM(B16:B17)</f>
        <v>99100</v>
      </c>
      <c r="C15" s="193">
        <f>SUM(C16:C17)</f>
        <v>4319.51</v>
      </c>
      <c r="D15" s="26">
        <f t="shared" si="0"/>
        <v>4.358738647830474</v>
      </c>
      <c r="E15" s="49">
        <f t="shared" si="1"/>
        <v>-94780.49</v>
      </c>
    </row>
    <row r="16" spans="1:5" ht="13.5" customHeight="1">
      <c r="A16" s="16" t="s">
        <v>41</v>
      </c>
      <c r="B16" s="25">
        <v>19100</v>
      </c>
      <c r="C16" s="27">
        <v>11.46</v>
      </c>
      <c r="D16" s="26">
        <f t="shared" si="0"/>
        <v>0.060000000000000005</v>
      </c>
      <c r="E16" s="49">
        <f t="shared" si="1"/>
        <v>-19088.54</v>
      </c>
    </row>
    <row r="17" spans="1:5" ht="22.5" customHeight="1">
      <c r="A17" s="16" t="s">
        <v>42</v>
      </c>
      <c r="B17" s="25">
        <v>80000</v>
      </c>
      <c r="C17" s="27">
        <v>4308.05</v>
      </c>
      <c r="D17" s="26">
        <f t="shared" si="0"/>
        <v>5.3850625</v>
      </c>
      <c r="E17" s="49">
        <f t="shared" si="1"/>
        <v>-75691.95</v>
      </c>
    </row>
    <row r="18" spans="1:5" ht="17.25" customHeight="1">
      <c r="A18" s="42" t="s">
        <v>131</v>
      </c>
      <c r="B18" s="25">
        <v>0</v>
      </c>
      <c r="C18" s="27">
        <v>0</v>
      </c>
      <c r="D18" s="26" t="str">
        <f t="shared" si="0"/>
        <v>   </v>
      </c>
      <c r="E18" s="49">
        <f t="shared" si="1"/>
        <v>0</v>
      </c>
    </row>
    <row r="19" spans="1:5" ht="18.75" customHeight="1">
      <c r="A19" s="16" t="s">
        <v>104</v>
      </c>
      <c r="B19" s="193">
        <f>SUM(B20)</f>
        <v>0</v>
      </c>
      <c r="C19" s="193">
        <f>SUM(C20)</f>
        <v>0</v>
      </c>
      <c r="D19" s="26" t="str">
        <f t="shared" si="0"/>
        <v>   </v>
      </c>
      <c r="E19" s="49">
        <f t="shared" si="1"/>
        <v>0</v>
      </c>
    </row>
    <row r="20" spans="1:5" ht="22.5" customHeight="1">
      <c r="A20" s="16" t="s">
        <v>105</v>
      </c>
      <c r="B20" s="25">
        <v>0</v>
      </c>
      <c r="C20" s="33">
        <v>0</v>
      </c>
      <c r="D20" s="26" t="str">
        <f t="shared" si="0"/>
        <v>   </v>
      </c>
      <c r="E20" s="49">
        <f t="shared" si="1"/>
        <v>0</v>
      </c>
    </row>
    <row r="21" spans="1:5" ht="16.5" customHeight="1">
      <c r="A21" s="16" t="s">
        <v>44</v>
      </c>
      <c r="B21" s="193">
        <f>B22+B24</f>
        <v>0</v>
      </c>
      <c r="C21" s="193">
        <f>C22+C23+C24</f>
        <v>2712.94</v>
      </c>
      <c r="D21" s="26" t="str">
        <f t="shared" si="0"/>
        <v>   </v>
      </c>
      <c r="E21" s="49">
        <f t="shared" si="1"/>
        <v>2712.94</v>
      </c>
    </row>
    <row r="22" spans="1:5" ht="13.5" customHeight="1">
      <c r="A22" s="16" t="s">
        <v>66</v>
      </c>
      <c r="B22" s="25">
        <v>0</v>
      </c>
      <c r="C22" s="27">
        <v>0</v>
      </c>
      <c r="D22" s="26" t="str">
        <f t="shared" si="0"/>
        <v>   </v>
      </c>
      <c r="E22" s="49">
        <f t="shared" si="1"/>
        <v>0</v>
      </c>
    </row>
    <row r="23" spans="1:5" ht="13.5" customHeight="1">
      <c r="A23" s="16" t="s">
        <v>167</v>
      </c>
      <c r="B23" s="25"/>
      <c r="C23" s="27">
        <v>2712.94</v>
      </c>
      <c r="D23" s="26"/>
      <c r="E23" s="49"/>
    </row>
    <row r="24" spans="1:5" ht="12" customHeight="1">
      <c r="A24" s="16" t="s">
        <v>43</v>
      </c>
      <c r="B24" s="25">
        <v>0</v>
      </c>
      <c r="C24" s="25">
        <v>0</v>
      </c>
      <c r="D24" s="26" t="str">
        <f t="shared" si="0"/>
        <v>   </v>
      </c>
      <c r="E24" s="49">
        <f t="shared" si="1"/>
        <v>0</v>
      </c>
    </row>
    <row r="25" spans="1:5" ht="21" customHeight="1">
      <c r="A25" s="164" t="s">
        <v>11</v>
      </c>
      <c r="B25" s="142">
        <f>SUM(B7,B9,B11,B15,B18,B19,B21)</f>
        <v>504200</v>
      </c>
      <c r="C25" s="142">
        <f>SUM(C7,C9,C11,C14,C15,C19,C21,C18)</f>
        <v>49548.53</v>
      </c>
      <c r="D25" s="166">
        <f t="shared" si="0"/>
        <v>9.82715787385958</v>
      </c>
      <c r="E25" s="167">
        <f t="shared" si="1"/>
        <v>-454651.47</v>
      </c>
    </row>
    <row r="26" spans="1:5" ht="18" customHeight="1">
      <c r="A26" s="17" t="s">
        <v>46</v>
      </c>
      <c r="B26" s="24">
        <v>1271100</v>
      </c>
      <c r="C26" s="24">
        <v>222100</v>
      </c>
      <c r="D26" s="26">
        <f t="shared" si="0"/>
        <v>17.473054834395406</v>
      </c>
      <c r="E26" s="49">
        <f t="shared" si="1"/>
        <v>-1049000</v>
      </c>
    </row>
    <row r="27" spans="1:5" ht="16.5" customHeight="1">
      <c r="A27" s="16" t="s">
        <v>63</v>
      </c>
      <c r="B27" s="25">
        <v>205300</v>
      </c>
      <c r="C27" s="27">
        <v>0</v>
      </c>
      <c r="D27" s="26">
        <f t="shared" si="0"/>
        <v>0</v>
      </c>
      <c r="E27" s="49">
        <f t="shared" si="1"/>
        <v>-205300</v>
      </c>
    </row>
    <row r="28" spans="1:5" ht="30.75" customHeight="1">
      <c r="A28" s="200" t="s">
        <v>67</v>
      </c>
      <c r="B28" s="201">
        <v>50300</v>
      </c>
      <c r="C28" s="205">
        <v>8400</v>
      </c>
      <c r="D28" s="202">
        <f t="shared" si="0"/>
        <v>16.69980119284294</v>
      </c>
      <c r="E28" s="203">
        <f t="shared" si="1"/>
        <v>-41900</v>
      </c>
    </row>
    <row r="29" spans="1:5" ht="27" customHeight="1">
      <c r="A29" s="204" t="s">
        <v>140</v>
      </c>
      <c r="B29" s="201">
        <v>100</v>
      </c>
      <c r="C29" s="201">
        <v>0</v>
      </c>
      <c r="D29" s="202">
        <f t="shared" si="0"/>
        <v>0</v>
      </c>
      <c r="E29" s="203">
        <f t="shared" si="1"/>
        <v>-100</v>
      </c>
    </row>
    <row r="30" spans="1:5" ht="28.5" customHeight="1">
      <c r="A30" s="16" t="s">
        <v>170</v>
      </c>
      <c r="B30" s="25">
        <v>0</v>
      </c>
      <c r="C30" s="27">
        <v>0</v>
      </c>
      <c r="D30" s="26" t="str">
        <f t="shared" si="0"/>
        <v>   </v>
      </c>
      <c r="E30" s="49">
        <f>C30-B30</f>
        <v>0</v>
      </c>
    </row>
    <row r="31" spans="1:5" ht="28.5" customHeight="1">
      <c r="A31" s="16" t="s">
        <v>115</v>
      </c>
      <c r="B31" s="25">
        <v>0</v>
      </c>
      <c r="C31" s="27">
        <v>0</v>
      </c>
      <c r="D31" s="26" t="str">
        <f t="shared" si="0"/>
        <v>   </v>
      </c>
      <c r="E31" s="49">
        <f>C31-B31</f>
        <v>0</v>
      </c>
    </row>
    <row r="32" spans="1:5" ht="28.5" customHeight="1">
      <c r="A32" s="16" t="s">
        <v>260</v>
      </c>
      <c r="B32" s="25">
        <v>0</v>
      </c>
      <c r="C32" s="27">
        <v>0</v>
      </c>
      <c r="D32" s="26" t="str">
        <f t="shared" si="0"/>
        <v>   </v>
      </c>
      <c r="E32" s="49">
        <f>C32-B32</f>
        <v>0</v>
      </c>
    </row>
    <row r="33" spans="1:5" ht="40.5" customHeight="1">
      <c r="A33" s="16" t="s">
        <v>108</v>
      </c>
      <c r="B33" s="25">
        <v>0</v>
      </c>
      <c r="C33" s="25">
        <v>0</v>
      </c>
      <c r="D33" s="26" t="str">
        <f t="shared" si="0"/>
        <v>   </v>
      </c>
      <c r="E33" s="49">
        <f t="shared" si="1"/>
        <v>0</v>
      </c>
    </row>
    <row r="34" spans="1:5" ht="24.75" customHeight="1">
      <c r="A34" s="200" t="s">
        <v>149</v>
      </c>
      <c r="B34" s="201">
        <v>3300</v>
      </c>
      <c r="C34" s="201">
        <v>0</v>
      </c>
      <c r="D34" s="202">
        <f t="shared" si="0"/>
        <v>0</v>
      </c>
      <c r="E34" s="203">
        <f t="shared" si="1"/>
        <v>-3300</v>
      </c>
    </row>
    <row r="35" spans="1:5" ht="15" customHeight="1">
      <c r="A35" s="16" t="s">
        <v>107</v>
      </c>
      <c r="B35" s="194">
        <f>B36</f>
        <v>97500</v>
      </c>
      <c r="C35" s="194">
        <f>C36</f>
        <v>0</v>
      </c>
      <c r="D35" s="26">
        <f t="shared" si="0"/>
        <v>0</v>
      </c>
      <c r="E35" s="49">
        <f t="shared" si="1"/>
        <v>-97500</v>
      </c>
    </row>
    <row r="36" spans="1:5" s="7" customFormat="1" ht="14.25" customHeight="1">
      <c r="A36" s="63" t="s">
        <v>180</v>
      </c>
      <c r="B36" s="64">
        <v>97500</v>
      </c>
      <c r="C36" s="64">
        <v>0</v>
      </c>
      <c r="D36" s="64">
        <f t="shared" si="0"/>
        <v>0</v>
      </c>
      <c r="E36" s="43">
        <f t="shared" si="1"/>
        <v>-97500</v>
      </c>
    </row>
    <row r="37" spans="1:5" ht="24.75" customHeight="1">
      <c r="A37" s="164" t="s">
        <v>14</v>
      </c>
      <c r="B37" s="168">
        <f>SUM(B25,B26,B27:B35,)</f>
        <v>2131800</v>
      </c>
      <c r="C37" s="168">
        <f>SUM(C25,C26,C27:C35)</f>
        <v>280048.53</v>
      </c>
      <c r="D37" s="166">
        <f t="shared" si="0"/>
        <v>13.136716858992404</v>
      </c>
      <c r="E37" s="167">
        <f t="shared" si="1"/>
        <v>-1851751.47</v>
      </c>
    </row>
    <row r="38" spans="1:5" ht="12.75" customHeight="1">
      <c r="A38" s="22" t="s">
        <v>15</v>
      </c>
      <c r="B38" s="51"/>
      <c r="C38" s="52"/>
      <c r="D38" s="26" t="str">
        <f t="shared" si="0"/>
        <v>   </v>
      </c>
      <c r="E38" s="49">
        <f t="shared" si="1"/>
        <v>0</v>
      </c>
    </row>
    <row r="39" spans="1:5" ht="15" customHeight="1">
      <c r="A39" s="16" t="s">
        <v>48</v>
      </c>
      <c r="B39" s="25">
        <v>755700</v>
      </c>
      <c r="C39" s="25">
        <v>65485.79</v>
      </c>
      <c r="D39" s="26">
        <f t="shared" si="0"/>
        <v>8.665580256715629</v>
      </c>
      <c r="E39" s="49">
        <f t="shared" si="1"/>
        <v>-690214.21</v>
      </c>
    </row>
    <row r="40" spans="1:5" ht="15" customHeight="1">
      <c r="A40" s="16" t="s">
        <v>49</v>
      </c>
      <c r="B40" s="25">
        <v>755200</v>
      </c>
      <c r="C40" s="25">
        <v>65485.79</v>
      </c>
      <c r="D40" s="26">
        <f t="shared" si="0"/>
        <v>8.67131753177966</v>
      </c>
      <c r="E40" s="49">
        <f t="shared" si="1"/>
        <v>-689714.21</v>
      </c>
    </row>
    <row r="41" spans="1:5" ht="15" customHeight="1">
      <c r="A41" s="118" t="s">
        <v>208</v>
      </c>
      <c r="B41" s="25">
        <v>476900</v>
      </c>
      <c r="C41" s="28">
        <v>58404.52</v>
      </c>
      <c r="D41" s="26">
        <f t="shared" si="0"/>
        <v>12.246701614594253</v>
      </c>
      <c r="E41" s="49">
        <f t="shared" si="1"/>
        <v>-418495.48</v>
      </c>
    </row>
    <row r="42" spans="1:5" ht="12.75">
      <c r="A42" s="16" t="s">
        <v>181</v>
      </c>
      <c r="B42" s="25">
        <v>100</v>
      </c>
      <c r="C42" s="28">
        <v>0</v>
      </c>
      <c r="D42" s="26">
        <f t="shared" si="0"/>
        <v>0</v>
      </c>
      <c r="E42" s="49">
        <f t="shared" si="1"/>
        <v>-100</v>
      </c>
    </row>
    <row r="43" spans="1:5" ht="12.75" customHeight="1">
      <c r="A43" s="16" t="s">
        <v>141</v>
      </c>
      <c r="B43" s="25">
        <v>500</v>
      </c>
      <c r="C43" s="27">
        <v>0</v>
      </c>
      <c r="D43" s="26">
        <f t="shared" si="0"/>
        <v>0</v>
      </c>
      <c r="E43" s="49">
        <f t="shared" si="1"/>
        <v>-500</v>
      </c>
    </row>
    <row r="44" spans="1:5" ht="15.75" customHeight="1">
      <c r="A44" s="16" t="s">
        <v>65</v>
      </c>
      <c r="B44" s="194">
        <f>SUM(B45)</f>
        <v>50300</v>
      </c>
      <c r="C44" s="194">
        <f>SUM(C45)</f>
        <v>4611.93</v>
      </c>
      <c r="D44" s="26">
        <f t="shared" si="0"/>
        <v>9.168846918489066</v>
      </c>
      <c r="E44" s="49">
        <f t="shared" si="1"/>
        <v>-45688.07</v>
      </c>
    </row>
    <row r="45" spans="1:5" ht="13.5" customHeight="1">
      <c r="A45" s="42" t="s">
        <v>176</v>
      </c>
      <c r="B45" s="25">
        <v>50300</v>
      </c>
      <c r="C45" s="27">
        <v>4611.93</v>
      </c>
      <c r="D45" s="26">
        <f t="shared" si="0"/>
        <v>9.168846918489066</v>
      </c>
      <c r="E45" s="49">
        <f t="shared" si="1"/>
        <v>-45688.07</v>
      </c>
    </row>
    <row r="46" spans="1:5" ht="18" customHeight="1">
      <c r="A46" s="16" t="s">
        <v>50</v>
      </c>
      <c r="B46" s="193">
        <f>SUM(B47)</f>
        <v>500</v>
      </c>
      <c r="C46" s="194">
        <f>SUM(C47)</f>
        <v>0</v>
      </c>
      <c r="D46" s="26">
        <f t="shared" si="0"/>
        <v>0</v>
      </c>
      <c r="E46" s="49">
        <f t="shared" si="1"/>
        <v>-500</v>
      </c>
    </row>
    <row r="47" spans="1:5" ht="26.25" customHeight="1">
      <c r="A47" s="47" t="s">
        <v>129</v>
      </c>
      <c r="B47" s="25">
        <v>500</v>
      </c>
      <c r="C47" s="27">
        <v>0</v>
      </c>
      <c r="D47" s="26">
        <f t="shared" si="0"/>
        <v>0</v>
      </c>
      <c r="E47" s="49">
        <f t="shared" si="1"/>
        <v>-500</v>
      </c>
    </row>
    <row r="48" spans="1:5" ht="12.75" customHeight="1">
      <c r="A48" s="16" t="s">
        <v>51</v>
      </c>
      <c r="B48" s="193">
        <f>SUM(B49:B49)</f>
        <v>197500</v>
      </c>
      <c r="C48" s="193">
        <f>SUM(C49:C49)</f>
        <v>0</v>
      </c>
      <c r="D48" s="26">
        <f t="shared" si="0"/>
        <v>0</v>
      </c>
      <c r="E48" s="49">
        <f t="shared" si="1"/>
        <v>-197500</v>
      </c>
    </row>
    <row r="49" spans="1:5" ht="13.5" customHeight="1">
      <c r="A49" s="16" t="s">
        <v>52</v>
      </c>
      <c r="B49" s="25">
        <f>B50+B51</f>
        <v>197500</v>
      </c>
      <c r="C49" s="25">
        <f>C50+C51</f>
        <v>0</v>
      </c>
      <c r="D49" s="26">
        <f t="shared" si="0"/>
        <v>0</v>
      </c>
      <c r="E49" s="49">
        <f t="shared" si="1"/>
        <v>-197500</v>
      </c>
    </row>
    <row r="50" spans="1:5" ht="24" customHeight="1">
      <c r="A50" s="91" t="s">
        <v>288</v>
      </c>
      <c r="B50" s="25">
        <v>97500</v>
      </c>
      <c r="C50" s="25">
        <v>0</v>
      </c>
      <c r="D50" s="26"/>
      <c r="E50" s="49"/>
    </row>
    <row r="51" spans="1:5" ht="26.25" customHeight="1">
      <c r="A51" s="91" t="s">
        <v>289</v>
      </c>
      <c r="B51" s="25">
        <v>100000</v>
      </c>
      <c r="C51" s="25">
        <v>0</v>
      </c>
      <c r="D51" s="26"/>
      <c r="E51" s="49"/>
    </row>
    <row r="52" spans="1:5" ht="15" customHeight="1">
      <c r="A52" s="16" t="s">
        <v>16</v>
      </c>
      <c r="B52" s="193">
        <f>B53</f>
        <v>130000</v>
      </c>
      <c r="C52" s="193">
        <f>C53</f>
        <v>12596.02</v>
      </c>
      <c r="D52" s="26">
        <f t="shared" si="0"/>
        <v>9.689246153846154</v>
      </c>
      <c r="E52" s="49">
        <f t="shared" si="1"/>
        <v>-117403.98</v>
      </c>
    </row>
    <row r="53" spans="1:5" ht="12.75" customHeight="1">
      <c r="A53" s="16" t="s">
        <v>145</v>
      </c>
      <c r="B53" s="25">
        <v>130000</v>
      </c>
      <c r="C53" s="25">
        <v>12596.02</v>
      </c>
      <c r="D53" s="26">
        <f t="shared" si="0"/>
        <v>9.689246153846154</v>
      </c>
      <c r="E53" s="49">
        <f t="shared" si="1"/>
        <v>-117403.98</v>
      </c>
    </row>
    <row r="54" spans="1:5" ht="12.75" customHeight="1">
      <c r="A54" s="16" t="s">
        <v>146</v>
      </c>
      <c r="B54" s="25">
        <v>130000</v>
      </c>
      <c r="C54" s="27">
        <v>12596.02</v>
      </c>
      <c r="D54" s="26">
        <f t="shared" si="0"/>
        <v>9.689246153846154</v>
      </c>
      <c r="E54" s="49">
        <f t="shared" si="1"/>
        <v>-117403.98</v>
      </c>
    </row>
    <row r="55" spans="1:5" ht="12.75" customHeight="1">
      <c r="A55" s="16" t="s">
        <v>82</v>
      </c>
      <c r="B55" s="25">
        <v>0</v>
      </c>
      <c r="C55" s="27">
        <v>0</v>
      </c>
      <c r="D55" s="26" t="str">
        <f t="shared" si="0"/>
        <v>   </v>
      </c>
      <c r="E55" s="49">
        <f t="shared" si="1"/>
        <v>0</v>
      </c>
    </row>
    <row r="56" spans="1:5" ht="15" customHeight="1">
      <c r="A56" s="36" t="s">
        <v>24</v>
      </c>
      <c r="B56" s="31">
        <v>10000</v>
      </c>
      <c r="C56" s="31">
        <v>0</v>
      </c>
      <c r="D56" s="26">
        <f t="shared" si="0"/>
        <v>0</v>
      </c>
      <c r="E56" s="49">
        <f t="shared" si="1"/>
        <v>-10000</v>
      </c>
    </row>
    <row r="57" spans="1:5" ht="15.75" customHeight="1">
      <c r="A57" s="16" t="s">
        <v>54</v>
      </c>
      <c r="B57" s="191">
        <f>B58</f>
        <v>883500</v>
      </c>
      <c r="C57" s="191">
        <f>C58</f>
        <v>133000</v>
      </c>
      <c r="D57" s="26">
        <f t="shared" si="0"/>
        <v>15.053763440860216</v>
      </c>
      <c r="E57" s="49">
        <f t="shared" si="1"/>
        <v>-750500</v>
      </c>
    </row>
    <row r="58" spans="1:5" ht="12.75" customHeight="1">
      <c r="A58" s="16" t="s">
        <v>55</v>
      </c>
      <c r="B58" s="25">
        <v>883500</v>
      </c>
      <c r="C58" s="27">
        <v>133000</v>
      </c>
      <c r="D58" s="26">
        <f t="shared" si="0"/>
        <v>15.053763440860216</v>
      </c>
      <c r="E58" s="49">
        <f t="shared" si="1"/>
        <v>-750500</v>
      </c>
    </row>
    <row r="59" spans="1:5" ht="14.25" customHeight="1">
      <c r="A59" s="118" t="s">
        <v>208</v>
      </c>
      <c r="B59" s="25">
        <v>0</v>
      </c>
      <c r="C59" s="27">
        <v>0</v>
      </c>
      <c r="D59" s="26" t="str">
        <f t="shared" si="0"/>
        <v>   </v>
      </c>
      <c r="E59" s="49">
        <f t="shared" si="1"/>
        <v>0</v>
      </c>
    </row>
    <row r="60" spans="1:5" ht="13.5" customHeight="1">
      <c r="A60" s="16" t="s">
        <v>177</v>
      </c>
      <c r="B60" s="25">
        <v>3300</v>
      </c>
      <c r="C60" s="27">
        <v>0</v>
      </c>
      <c r="D60" s="26">
        <f t="shared" si="0"/>
        <v>0</v>
      </c>
      <c r="E60" s="49">
        <f t="shared" si="1"/>
        <v>-3300</v>
      </c>
    </row>
    <row r="61" spans="1:5" ht="13.5" customHeight="1">
      <c r="A61" s="16" t="s">
        <v>215</v>
      </c>
      <c r="B61" s="193">
        <f>SUM(B62,)</f>
        <v>15000</v>
      </c>
      <c r="C61" s="193">
        <f>SUM(C62,)</f>
        <v>0</v>
      </c>
      <c r="D61" s="26">
        <f t="shared" si="0"/>
        <v>0</v>
      </c>
      <c r="E61" s="49">
        <f t="shared" si="1"/>
        <v>-15000</v>
      </c>
    </row>
    <row r="62" spans="1:5" ht="13.5" customHeight="1">
      <c r="A62" s="16" t="s">
        <v>56</v>
      </c>
      <c r="B62" s="25">
        <v>15000</v>
      </c>
      <c r="C62" s="28">
        <v>0</v>
      </c>
      <c r="D62" s="26">
        <f t="shared" si="0"/>
        <v>0</v>
      </c>
      <c r="E62" s="49">
        <f t="shared" si="1"/>
        <v>-15000</v>
      </c>
    </row>
    <row r="63" spans="1:5" ht="14.25" customHeight="1">
      <c r="A63" s="16" t="s">
        <v>18</v>
      </c>
      <c r="B63" s="193">
        <f>SUM(B64)</f>
        <v>89300</v>
      </c>
      <c r="C63" s="193">
        <f>SUM(C64)</f>
        <v>0</v>
      </c>
      <c r="D63" s="26">
        <f t="shared" si="0"/>
        <v>0</v>
      </c>
      <c r="E63" s="49">
        <f t="shared" si="1"/>
        <v>-89300</v>
      </c>
    </row>
    <row r="64" spans="1:5" ht="14.25" customHeight="1">
      <c r="A64" s="16" t="s">
        <v>224</v>
      </c>
      <c r="B64" s="193">
        <f>SUM(B65,B74,B81,B85)</f>
        <v>89300</v>
      </c>
      <c r="C64" s="193">
        <f>SUM(C65,C74,C81,C85)</f>
        <v>0</v>
      </c>
      <c r="D64" s="26">
        <f t="shared" si="0"/>
        <v>0</v>
      </c>
      <c r="E64" s="49">
        <f t="shared" si="1"/>
        <v>-89300</v>
      </c>
    </row>
    <row r="65" spans="1:5" ht="14.25" customHeight="1">
      <c r="A65" s="119" t="s">
        <v>254</v>
      </c>
      <c r="B65" s="198">
        <f>SUM(B66,B70)</f>
        <v>89300</v>
      </c>
      <c r="C65" s="198">
        <f>C66+C70</f>
        <v>0</v>
      </c>
      <c r="D65" s="26">
        <f t="shared" si="0"/>
        <v>0</v>
      </c>
      <c r="E65" s="49">
        <f t="shared" si="1"/>
        <v>-89300</v>
      </c>
    </row>
    <row r="66" spans="1:5" ht="13.5" customHeight="1">
      <c r="A66" s="16" t="s">
        <v>227</v>
      </c>
      <c r="B66" s="193">
        <f>SUM(B67:B69)</f>
        <v>89300</v>
      </c>
      <c r="C66" s="194">
        <f>C67+C68+C69</f>
        <v>0</v>
      </c>
      <c r="D66" s="26">
        <f t="shared" si="0"/>
        <v>0</v>
      </c>
      <c r="E66" s="49">
        <f t="shared" si="1"/>
        <v>-89300</v>
      </c>
    </row>
    <row r="67" spans="1:5" ht="13.5" customHeight="1">
      <c r="A67" s="47" t="s">
        <v>234</v>
      </c>
      <c r="B67" s="25">
        <v>0</v>
      </c>
      <c r="C67" s="27"/>
      <c r="D67" s="26" t="str">
        <f t="shared" si="0"/>
        <v>   </v>
      </c>
      <c r="E67" s="49">
        <f t="shared" si="1"/>
        <v>0</v>
      </c>
    </row>
    <row r="68" spans="1:5" ht="13.5" customHeight="1">
      <c r="A68" s="47" t="s">
        <v>235</v>
      </c>
      <c r="B68" s="25">
        <v>0</v>
      </c>
      <c r="C68" s="27"/>
      <c r="D68" s="26" t="str">
        <f t="shared" si="0"/>
        <v>   </v>
      </c>
      <c r="E68" s="49">
        <f t="shared" si="1"/>
        <v>0</v>
      </c>
    </row>
    <row r="69" spans="1:5" ht="13.5" customHeight="1">
      <c r="A69" s="47" t="s">
        <v>236</v>
      </c>
      <c r="B69" s="25">
        <v>89300</v>
      </c>
      <c r="C69" s="27">
        <v>0</v>
      </c>
      <c r="D69" s="26">
        <f t="shared" si="0"/>
        <v>0</v>
      </c>
      <c r="E69" s="49">
        <f t="shared" si="1"/>
        <v>-89300</v>
      </c>
    </row>
    <row r="70" spans="1:5" ht="24.75" customHeight="1">
      <c r="A70" s="16" t="s">
        <v>226</v>
      </c>
      <c r="B70" s="193">
        <f>SUM(B71:B73)</f>
        <v>0</v>
      </c>
      <c r="C70" s="194">
        <f>C71+C72+C73</f>
        <v>0</v>
      </c>
      <c r="D70" s="26" t="str">
        <f t="shared" si="0"/>
        <v>   </v>
      </c>
      <c r="E70" s="49">
        <f t="shared" si="1"/>
        <v>0</v>
      </c>
    </row>
    <row r="71" spans="1:5" ht="24.75" customHeight="1">
      <c r="A71" s="47" t="s">
        <v>234</v>
      </c>
      <c r="B71" s="25">
        <v>0</v>
      </c>
      <c r="C71" s="27">
        <v>0</v>
      </c>
      <c r="D71" s="26" t="str">
        <f t="shared" si="0"/>
        <v>   </v>
      </c>
      <c r="E71" s="49">
        <f t="shared" si="1"/>
        <v>0</v>
      </c>
    </row>
    <row r="72" spans="1:5" ht="24.75" customHeight="1">
      <c r="A72" s="47" t="s">
        <v>235</v>
      </c>
      <c r="B72" s="179">
        <v>0</v>
      </c>
      <c r="C72" s="27">
        <v>0</v>
      </c>
      <c r="D72" s="26" t="str">
        <f aca="true" t="shared" si="2" ref="D72:D87">IF(B72=0,"   ",C72/B72*100)</f>
        <v>   </v>
      </c>
      <c r="E72" s="49">
        <f t="shared" si="1"/>
        <v>0</v>
      </c>
    </row>
    <row r="73" spans="1:5" ht="24.75" customHeight="1">
      <c r="A73" s="47" t="s">
        <v>236</v>
      </c>
      <c r="B73" s="25">
        <v>0</v>
      </c>
      <c r="C73" s="27">
        <v>0</v>
      </c>
      <c r="D73" s="26" t="str">
        <f t="shared" si="2"/>
        <v>   </v>
      </c>
      <c r="E73" s="49">
        <f t="shared" si="1"/>
        <v>0</v>
      </c>
    </row>
    <row r="74" spans="1:5" ht="13.5" customHeight="1">
      <c r="A74" s="119" t="s">
        <v>255</v>
      </c>
      <c r="B74" s="198">
        <f>SUM(B75,B78)</f>
        <v>0</v>
      </c>
      <c r="C74" s="198">
        <f>SUM(C75:C78)</f>
        <v>0</v>
      </c>
      <c r="D74" s="26" t="str">
        <f t="shared" si="2"/>
        <v>   </v>
      </c>
      <c r="E74" s="49">
        <f t="shared" si="1"/>
        <v>0</v>
      </c>
    </row>
    <row r="75" spans="1:5" ht="15.75" customHeight="1">
      <c r="A75" s="16" t="s">
        <v>227</v>
      </c>
      <c r="B75" s="193">
        <f>SUM(B76:B77)</f>
        <v>0</v>
      </c>
      <c r="C75" s="194"/>
      <c r="D75" s="26" t="str">
        <f t="shared" si="2"/>
        <v>   </v>
      </c>
      <c r="E75" s="49">
        <f t="shared" si="1"/>
        <v>0</v>
      </c>
    </row>
    <row r="76" spans="1:5" ht="15.75" customHeight="1">
      <c r="A76" s="47" t="s">
        <v>235</v>
      </c>
      <c r="B76" s="25">
        <v>0</v>
      </c>
      <c r="C76" s="27"/>
      <c r="D76" s="26" t="str">
        <f t="shared" si="2"/>
        <v>   </v>
      </c>
      <c r="E76" s="49">
        <f t="shared" si="1"/>
        <v>0</v>
      </c>
    </row>
    <row r="77" spans="1:5" ht="15.75" customHeight="1">
      <c r="A77" s="47" t="s">
        <v>236</v>
      </c>
      <c r="B77" s="25"/>
      <c r="C77" s="27"/>
      <c r="D77" s="26" t="str">
        <f t="shared" si="2"/>
        <v>   </v>
      </c>
      <c r="E77" s="49">
        <f t="shared" si="1"/>
        <v>0</v>
      </c>
    </row>
    <row r="78" spans="1:5" ht="24.75" customHeight="1">
      <c r="A78" s="16" t="s">
        <v>226</v>
      </c>
      <c r="B78" s="193">
        <f>SUM(B79:B80)</f>
        <v>0</v>
      </c>
      <c r="C78" s="194">
        <f>SUM(C79:C80)</f>
        <v>0</v>
      </c>
      <c r="D78" s="26" t="str">
        <f t="shared" si="2"/>
        <v>   </v>
      </c>
      <c r="E78" s="49">
        <f t="shared" si="1"/>
        <v>0</v>
      </c>
    </row>
    <row r="79" spans="1:5" ht="24.75" customHeight="1">
      <c r="A79" s="47" t="s">
        <v>235</v>
      </c>
      <c r="B79" s="25">
        <v>0</v>
      </c>
      <c r="C79" s="27">
        <v>0</v>
      </c>
      <c r="D79" s="26" t="str">
        <f t="shared" si="2"/>
        <v>   </v>
      </c>
      <c r="E79" s="49">
        <f t="shared" si="1"/>
        <v>0</v>
      </c>
    </row>
    <row r="80" spans="1:5" ht="24.75" customHeight="1">
      <c r="A80" s="47" t="s">
        <v>236</v>
      </c>
      <c r="B80" s="25"/>
      <c r="C80" s="27"/>
      <c r="D80" s="26" t="str">
        <f t="shared" si="2"/>
        <v>   </v>
      </c>
      <c r="E80" s="49">
        <f t="shared" si="1"/>
        <v>0</v>
      </c>
    </row>
    <row r="81" spans="1:5" ht="13.5" customHeight="1">
      <c r="A81" s="119" t="s">
        <v>228</v>
      </c>
      <c r="B81" s="198">
        <f>SUM(B82:B84)</f>
        <v>0</v>
      </c>
      <c r="C81" s="216">
        <f>C82+C83+C84</f>
        <v>0</v>
      </c>
      <c r="D81" s="26" t="str">
        <f t="shared" si="2"/>
        <v>   </v>
      </c>
      <c r="E81" s="49">
        <f t="shared" si="1"/>
        <v>0</v>
      </c>
    </row>
    <row r="82" spans="1:5" ht="13.5" customHeight="1">
      <c r="A82" s="47" t="s">
        <v>234</v>
      </c>
      <c r="B82" s="120">
        <v>0</v>
      </c>
      <c r="C82" s="121">
        <v>0</v>
      </c>
      <c r="D82" s="26" t="str">
        <f t="shared" si="2"/>
        <v>   </v>
      </c>
      <c r="E82" s="49">
        <f t="shared" si="1"/>
        <v>0</v>
      </c>
    </row>
    <row r="83" spans="1:5" ht="13.5" customHeight="1">
      <c r="A83" s="47" t="s">
        <v>235</v>
      </c>
      <c r="B83" s="120">
        <v>0</v>
      </c>
      <c r="C83" s="121">
        <v>0</v>
      </c>
      <c r="D83" s="26" t="str">
        <f t="shared" si="2"/>
        <v>   </v>
      </c>
      <c r="E83" s="49">
        <f t="shared" si="1"/>
        <v>0</v>
      </c>
    </row>
    <row r="84" spans="1:5" ht="13.5" customHeight="1">
      <c r="A84" s="47" t="s">
        <v>236</v>
      </c>
      <c r="B84" s="120">
        <v>0</v>
      </c>
      <c r="C84" s="121"/>
      <c r="D84" s="26" t="str">
        <f t="shared" si="2"/>
        <v>   </v>
      </c>
      <c r="E84" s="49">
        <f t="shared" si="1"/>
        <v>0</v>
      </c>
    </row>
    <row r="85" spans="1:5" ht="41.25" customHeight="1">
      <c r="A85" s="47" t="s">
        <v>253</v>
      </c>
      <c r="B85" s="120">
        <v>0</v>
      </c>
      <c r="C85" s="121">
        <v>0</v>
      </c>
      <c r="D85" s="26"/>
      <c r="E85" s="49"/>
    </row>
    <row r="86" spans="1:5" ht="24.75" customHeight="1">
      <c r="A86" s="164" t="s">
        <v>19</v>
      </c>
      <c r="B86" s="168">
        <f>SUM(B39,B44,B46,B48,B52,B56,B57,B61,B63,)</f>
        <v>2131800</v>
      </c>
      <c r="C86" s="168">
        <f>SUM(C39,C44,C46,C48,C52,C56,C57,C61,C63,)</f>
        <v>215693.74</v>
      </c>
      <c r="D86" s="166">
        <f t="shared" si="2"/>
        <v>10.1179163148513</v>
      </c>
      <c r="E86" s="167">
        <f t="shared" si="1"/>
        <v>-1916106.26</v>
      </c>
    </row>
    <row r="87" spans="1:5" ht="13.5" customHeight="1" thickBot="1">
      <c r="A87" s="98" t="s">
        <v>211</v>
      </c>
      <c r="B87" s="212">
        <f>B41+B59</f>
        <v>476900</v>
      </c>
      <c r="C87" s="212">
        <f>C41+C59</f>
        <v>58404.52</v>
      </c>
      <c r="D87" s="99">
        <f t="shared" si="2"/>
        <v>12.246701614594253</v>
      </c>
      <c r="E87" s="100">
        <f t="shared" si="1"/>
        <v>-418495.48</v>
      </c>
    </row>
    <row r="88" spans="1:5" s="76" customFormat="1" ht="23.25" customHeight="1">
      <c r="A88" s="110" t="s">
        <v>251</v>
      </c>
      <c r="B88" s="110"/>
      <c r="C88" s="250"/>
      <c r="D88" s="250"/>
      <c r="E88" s="250"/>
    </row>
    <row r="89" spans="1:5" s="76" customFormat="1" ht="12" customHeight="1">
      <c r="A89" s="110" t="s">
        <v>250</v>
      </c>
      <c r="B89" s="110"/>
      <c r="C89" s="111" t="s">
        <v>252</v>
      </c>
      <c r="D89" s="112"/>
      <c r="E89" s="113"/>
    </row>
    <row r="90" spans="1:5" ht="12.75">
      <c r="A90" s="7"/>
      <c r="B90" s="7"/>
      <c r="C90" s="6"/>
      <c r="D90" s="7"/>
      <c r="E90" s="2"/>
    </row>
    <row r="91" spans="1:5" ht="12.75">
      <c r="A91" s="7"/>
      <c r="B91" s="7"/>
      <c r="C91" s="6"/>
      <c r="D91" s="7"/>
      <c r="E91" s="2"/>
    </row>
    <row r="92" spans="1:5" ht="12.75">
      <c r="A92" s="7"/>
      <c r="B92" s="7"/>
      <c r="C92" s="6"/>
      <c r="D92" s="7"/>
      <c r="E92" s="2"/>
    </row>
    <row r="93" spans="1:5" ht="12.75">
      <c r="A93" s="7"/>
      <c r="B93" s="7"/>
      <c r="C93" s="6"/>
      <c r="D93" s="7"/>
      <c r="E93" s="2"/>
    </row>
  </sheetData>
  <mergeCells count="2">
    <mergeCell ref="A1:E1"/>
    <mergeCell ref="C88:E88"/>
  </mergeCells>
  <printOptions/>
  <pageMargins left="0.7874015748031497" right="0.7874015748031497" top="0.5118110236220472" bottom="0.5118110236220472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7"/>
  <sheetViews>
    <sheetView workbookViewId="0" topLeftCell="A40">
      <selection activeCell="B56" sqref="B56"/>
    </sheetView>
  </sheetViews>
  <sheetFormatPr defaultColWidth="9.00390625" defaultRowHeight="12.75"/>
  <cols>
    <col min="1" max="1" width="95.625" style="0" customWidth="1"/>
    <col min="2" max="2" width="15.875" style="0" customWidth="1"/>
    <col min="3" max="3" width="16.875" style="0" customWidth="1"/>
    <col min="4" max="4" width="17.25390625" style="0" customWidth="1"/>
    <col min="5" max="5" width="16.25390625" style="0" customWidth="1"/>
  </cols>
  <sheetData>
    <row r="1" spans="1:5" ht="18">
      <c r="A1" s="252" t="s">
        <v>310</v>
      </c>
      <c r="B1" s="252"/>
      <c r="C1" s="252"/>
      <c r="D1" s="252"/>
      <c r="E1" s="252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71.25" customHeight="1">
      <c r="A4" s="35" t="s">
        <v>1</v>
      </c>
      <c r="B4" s="19" t="s">
        <v>284</v>
      </c>
      <c r="C4" s="32" t="s">
        <v>305</v>
      </c>
      <c r="D4" s="19" t="s">
        <v>290</v>
      </c>
      <c r="E4" s="19" t="s">
        <v>291</v>
      </c>
    </row>
    <row r="5" spans="1:5" ht="12.75">
      <c r="A5" s="13">
        <v>1</v>
      </c>
      <c r="B5" s="97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58</v>
      </c>
      <c r="B7" s="191">
        <f>SUM(B8)</f>
        <v>172300</v>
      </c>
      <c r="C7" s="191">
        <f>SUM(C8)</f>
        <v>13007.76</v>
      </c>
      <c r="D7" s="26">
        <f aca="true" t="shared" si="0" ref="D7:D67">IF(B7=0,"   ",C7/B7*100)</f>
        <v>7.549483459082995</v>
      </c>
      <c r="E7" s="49">
        <f aca="true" t="shared" si="1" ref="E7:E81">C7-B7</f>
        <v>-159292.24</v>
      </c>
    </row>
    <row r="8" spans="1:5" ht="12.75">
      <c r="A8" s="16" t="s">
        <v>57</v>
      </c>
      <c r="B8" s="25">
        <v>172300</v>
      </c>
      <c r="C8" s="27">
        <v>13007.76</v>
      </c>
      <c r="D8" s="26">
        <f t="shared" si="0"/>
        <v>7.549483459082995</v>
      </c>
      <c r="E8" s="49">
        <f t="shared" si="1"/>
        <v>-159292.24</v>
      </c>
    </row>
    <row r="9" spans="1:5" ht="12.75">
      <c r="A9" s="16" t="s">
        <v>7</v>
      </c>
      <c r="B9" s="193">
        <f>SUM(B10:B10)</f>
        <v>800</v>
      </c>
      <c r="C9" s="193">
        <f>SUM(C10:C10)</f>
        <v>12709.3</v>
      </c>
      <c r="D9" s="26">
        <f t="shared" si="0"/>
        <v>1588.6625</v>
      </c>
      <c r="E9" s="49">
        <f t="shared" si="1"/>
        <v>11909.3</v>
      </c>
    </row>
    <row r="10" spans="1:5" ht="12.75">
      <c r="A10" s="16" t="s">
        <v>38</v>
      </c>
      <c r="B10" s="25">
        <v>800</v>
      </c>
      <c r="C10" s="27">
        <v>12709.3</v>
      </c>
      <c r="D10" s="26">
        <f t="shared" si="0"/>
        <v>1588.6625</v>
      </c>
      <c r="E10" s="49">
        <f t="shared" si="1"/>
        <v>11909.3</v>
      </c>
    </row>
    <row r="11" spans="1:5" ht="12.75">
      <c r="A11" s="16" t="s">
        <v>9</v>
      </c>
      <c r="B11" s="193">
        <f>SUM(B12:B13)</f>
        <v>329500</v>
      </c>
      <c r="C11" s="193">
        <f>SUM(C12:C13)</f>
        <v>17902.43</v>
      </c>
      <c r="D11" s="26">
        <f t="shared" si="0"/>
        <v>5.433210925644916</v>
      </c>
      <c r="E11" s="49">
        <f t="shared" si="1"/>
        <v>-311597.57</v>
      </c>
    </row>
    <row r="12" spans="1:5" ht="12.75">
      <c r="A12" s="16" t="s">
        <v>39</v>
      </c>
      <c r="B12" s="25">
        <v>129500</v>
      </c>
      <c r="C12" s="27">
        <v>4974.05</v>
      </c>
      <c r="D12" s="26">
        <f t="shared" si="0"/>
        <v>3.840965250965251</v>
      </c>
      <c r="E12" s="49">
        <f t="shared" si="1"/>
        <v>-124525.95</v>
      </c>
    </row>
    <row r="13" spans="1:5" ht="12.75">
      <c r="A13" s="16" t="s">
        <v>10</v>
      </c>
      <c r="B13" s="25">
        <v>200000</v>
      </c>
      <c r="C13" s="27">
        <v>12928.38</v>
      </c>
      <c r="D13" s="26">
        <f t="shared" si="0"/>
        <v>6.46419</v>
      </c>
      <c r="E13" s="49">
        <f t="shared" si="1"/>
        <v>-187071.62</v>
      </c>
    </row>
    <row r="14" spans="1:5" ht="26.25" customHeight="1">
      <c r="A14" s="16" t="s">
        <v>126</v>
      </c>
      <c r="B14" s="25">
        <v>0</v>
      </c>
      <c r="C14" s="27">
        <v>0</v>
      </c>
      <c r="D14" s="26" t="str">
        <f t="shared" si="0"/>
        <v>   </v>
      </c>
      <c r="E14" s="49">
        <f t="shared" si="1"/>
        <v>0</v>
      </c>
    </row>
    <row r="15" spans="1:5" ht="27" customHeight="1">
      <c r="A15" s="16" t="s">
        <v>40</v>
      </c>
      <c r="B15" s="193">
        <f>B16+B17</f>
        <v>199500</v>
      </c>
      <c r="C15" s="193">
        <f>SUM(C16:C17)</f>
        <v>8271.89</v>
      </c>
      <c r="D15" s="26">
        <f t="shared" si="0"/>
        <v>4.1463107769423555</v>
      </c>
      <c r="E15" s="49">
        <f t="shared" si="1"/>
        <v>-191228.11</v>
      </c>
    </row>
    <row r="16" spans="1:5" ht="12.75">
      <c r="A16" s="16" t="s">
        <v>41</v>
      </c>
      <c r="B16" s="25">
        <v>79200</v>
      </c>
      <c r="C16" s="25">
        <v>8271.89</v>
      </c>
      <c r="D16" s="26">
        <f t="shared" si="0"/>
        <v>10.444305555555555</v>
      </c>
      <c r="E16" s="49">
        <f t="shared" si="1"/>
        <v>-70928.11</v>
      </c>
    </row>
    <row r="17" spans="1:5" ht="26.25" customHeight="1">
      <c r="A17" s="16" t="s">
        <v>42</v>
      </c>
      <c r="B17" s="25">
        <v>120300</v>
      </c>
      <c r="C17" s="27">
        <v>0</v>
      </c>
      <c r="D17" s="26">
        <f t="shared" si="0"/>
        <v>0</v>
      </c>
      <c r="E17" s="49">
        <f t="shared" si="1"/>
        <v>-120300</v>
      </c>
    </row>
    <row r="18" spans="1:5" ht="19.5" customHeight="1">
      <c r="A18" s="16" t="s">
        <v>113</v>
      </c>
      <c r="B18" s="25">
        <v>0</v>
      </c>
      <c r="C18" s="27">
        <v>0</v>
      </c>
      <c r="D18" s="26" t="str">
        <f t="shared" si="0"/>
        <v>   </v>
      </c>
      <c r="E18" s="49">
        <f t="shared" si="1"/>
        <v>0</v>
      </c>
    </row>
    <row r="19" spans="1:5" ht="13.5" customHeight="1">
      <c r="A19" s="16" t="s">
        <v>104</v>
      </c>
      <c r="B19" s="193">
        <f>SUM(B20:B21)</f>
        <v>0</v>
      </c>
      <c r="C19" s="193">
        <f>SUM(C20:C21)</f>
        <v>0</v>
      </c>
      <c r="D19" s="26" t="str">
        <f t="shared" si="0"/>
        <v>   </v>
      </c>
      <c r="E19" s="49">
        <f t="shared" si="1"/>
        <v>0</v>
      </c>
    </row>
    <row r="20" spans="1:5" ht="13.5" customHeight="1">
      <c r="A20" s="16" t="s">
        <v>218</v>
      </c>
      <c r="B20" s="25">
        <v>0</v>
      </c>
      <c r="C20" s="25">
        <v>0</v>
      </c>
      <c r="D20" s="26" t="str">
        <f t="shared" si="0"/>
        <v>   </v>
      </c>
      <c r="E20" s="49"/>
    </row>
    <row r="21" spans="1:5" ht="26.25" customHeight="1">
      <c r="A21" s="16" t="s">
        <v>105</v>
      </c>
      <c r="B21" s="25">
        <v>0</v>
      </c>
      <c r="C21" s="25">
        <v>0</v>
      </c>
      <c r="D21" s="26" t="str">
        <f t="shared" si="0"/>
        <v>   </v>
      </c>
      <c r="E21" s="49">
        <f t="shared" si="1"/>
        <v>0</v>
      </c>
    </row>
    <row r="22" spans="1:5" ht="12.75">
      <c r="A22" s="16" t="s">
        <v>44</v>
      </c>
      <c r="B22" s="193">
        <f>B23</f>
        <v>0</v>
      </c>
      <c r="C22" s="193">
        <f>C23</f>
        <v>16563.42</v>
      </c>
      <c r="D22" s="26" t="str">
        <f t="shared" si="0"/>
        <v>   </v>
      </c>
      <c r="E22" s="49">
        <f t="shared" si="1"/>
        <v>16563.42</v>
      </c>
    </row>
    <row r="23" spans="1:5" ht="12.75">
      <c r="A23" s="16" t="s">
        <v>66</v>
      </c>
      <c r="B23" s="25">
        <v>0</v>
      </c>
      <c r="C23" s="25">
        <v>16563.42</v>
      </c>
      <c r="D23" s="26" t="str">
        <f t="shared" si="0"/>
        <v>   </v>
      </c>
      <c r="E23" s="49">
        <f t="shared" si="1"/>
        <v>16563.42</v>
      </c>
    </row>
    <row r="24" spans="1:5" ht="16.5" customHeight="1">
      <c r="A24" s="16" t="s">
        <v>43</v>
      </c>
      <c r="B24" s="25">
        <v>0</v>
      </c>
      <c r="C24" s="24">
        <v>0</v>
      </c>
      <c r="D24" s="26" t="str">
        <f t="shared" si="0"/>
        <v>   </v>
      </c>
      <c r="E24" s="49">
        <f t="shared" si="1"/>
        <v>0</v>
      </c>
    </row>
    <row r="25" spans="1:5" ht="18" customHeight="1">
      <c r="A25" s="164" t="s">
        <v>11</v>
      </c>
      <c r="B25" s="217">
        <f>SUM(B7,B9,B11,B15,B18,B19,B22,B24,B14)</f>
        <v>702100</v>
      </c>
      <c r="C25" s="217">
        <f>SUM(C7,C9,C11,C15,C18,C19,C22,C24,C14)</f>
        <v>68454.79999999999</v>
      </c>
      <c r="D25" s="166">
        <f t="shared" si="0"/>
        <v>9.750007121492663</v>
      </c>
      <c r="E25" s="167">
        <f t="shared" si="1"/>
        <v>-633645.2</v>
      </c>
    </row>
    <row r="26" spans="1:5" ht="14.25" customHeight="1">
      <c r="A26" s="17" t="s">
        <v>46</v>
      </c>
      <c r="B26" s="24">
        <v>2567600</v>
      </c>
      <c r="C26" s="24">
        <v>448600</v>
      </c>
      <c r="D26" s="26">
        <f t="shared" si="0"/>
        <v>17.47156878018383</v>
      </c>
      <c r="E26" s="49">
        <f t="shared" si="1"/>
        <v>-2119000</v>
      </c>
    </row>
    <row r="27" spans="1:5" ht="15.75" customHeight="1">
      <c r="A27" s="16" t="s">
        <v>63</v>
      </c>
      <c r="B27" s="25">
        <v>0</v>
      </c>
      <c r="C27" s="27">
        <v>0</v>
      </c>
      <c r="D27" s="26" t="str">
        <f t="shared" si="0"/>
        <v>   </v>
      </c>
      <c r="E27" s="49">
        <f t="shared" si="1"/>
        <v>0</v>
      </c>
    </row>
    <row r="28" spans="1:5" ht="27" customHeight="1">
      <c r="A28" s="200" t="s">
        <v>67</v>
      </c>
      <c r="B28" s="201">
        <v>125700</v>
      </c>
      <c r="C28" s="201">
        <v>20900</v>
      </c>
      <c r="D28" s="202">
        <f t="shared" si="0"/>
        <v>16.626889419252187</v>
      </c>
      <c r="E28" s="203">
        <f t="shared" si="1"/>
        <v>-104800</v>
      </c>
    </row>
    <row r="29" spans="1:5" ht="27" customHeight="1">
      <c r="A29" s="204" t="s">
        <v>140</v>
      </c>
      <c r="B29" s="201">
        <v>100</v>
      </c>
      <c r="C29" s="201">
        <v>0</v>
      </c>
      <c r="D29" s="202">
        <f t="shared" si="0"/>
        <v>0</v>
      </c>
      <c r="E29" s="203">
        <f t="shared" si="1"/>
        <v>-100</v>
      </c>
    </row>
    <row r="30" spans="1:5" ht="26.25" customHeight="1">
      <c r="A30" s="16" t="s">
        <v>120</v>
      </c>
      <c r="B30" s="25">
        <v>0</v>
      </c>
      <c r="C30" s="27">
        <v>0</v>
      </c>
      <c r="D30" s="26" t="str">
        <f t="shared" si="0"/>
        <v>   </v>
      </c>
      <c r="E30" s="49">
        <f t="shared" si="1"/>
        <v>0</v>
      </c>
    </row>
    <row r="31" spans="1:5" ht="18.75" customHeight="1">
      <c r="A31" s="16" t="s">
        <v>261</v>
      </c>
      <c r="B31" s="25">
        <v>0</v>
      </c>
      <c r="C31" s="27">
        <v>0</v>
      </c>
      <c r="D31" s="26" t="str">
        <f t="shared" si="0"/>
        <v>   </v>
      </c>
      <c r="E31" s="49">
        <f t="shared" si="1"/>
        <v>0</v>
      </c>
    </row>
    <row r="32" spans="1:5" ht="24.75" customHeight="1">
      <c r="A32" s="16" t="s">
        <v>170</v>
      </c>
      <c r="B32" s="25">
        <v>0</v>
      </c>
      <c r="C32" s="27">
        <v>0</v>
      </c>
      <c r="D32" s="26" t="str">
        <f t="shared" si="0"/>
        <v>   </v>
      </c>
      <c r="E32" s="49">
        <f t="shared" si="1"/>
        <v>0</v>
      </c>
    </row>
    <row r="33" spans="1:5" ht="26.25" customHeight="1">
      <c r="A33" s="200" t="s">
        <v>149</v>
      </c>
      <c r="B33" s="201">
        <v>6600</v>
      </c>
      <c r="C33" s="201">
        <v>0</v>
      </c>
      <c r="D33" s="202">
        <f t="shared" si="0"/>
        <v>0</v>
      </c>
      <c r="E33" s="203">
        <f t="shared" si="1"/>
        <v>-6600</v>
      </c>
    </row>
    <row r="34" spans="1:5" ht="17.25" customHeight="1">
      <c r="A34" s="16" t="s">
        <v>72</v>
      </c>
      <c r="B34" s="193">
        <f>B35</f>
        <v>176800</v>
      </c>
      <c r="C34" s="193">
        <f>C35</f>
        <v>0</v>
      </c>
      <c r="D34" s="26">
        <f t="shared" si="0"/>
        <v>0</v>
      </c>
      <c r="E34" s="49">
        <f t="shared" si="1"/>
        <v>-176800</v>
      </c>
    </row>
    <row r="35" spans="1:5" s="7" customFormat="1" ht="14.25" customHeight="1">
      <c r="A35" s="63" t="s">
        <v>180</v>
      </c>
      <c r="B35" s="64">
        <v>176800</v>
      </c>
      <c r="C35" s="25">
        <v>0</v>
      </c>
      <c r="D35" s="64">
        <f t="shared" si="0"/>
        <v>0</v>
      </c>
      <c r="E35" s="43">
        <f t="shared" si="1"/>
        <v>-176800</v>
      </c>
    </row>
    <row r="36" spans="1:5" ht="42" customHeight="1">
      <c r="A36" s="16" t="s">
        <v>154</v>
      </c>
      <c r="B36" s="25">
        <v>0</v>
      </c>
      <c r="C36" s="25">
        <v>0</v>
      </c>
      <c r="D36" s="26" t="str">
        <f t="shared" si="0"/>
        <v>   </v>
      </c>
      <c r="E36" s="49">
        <f t="shared" si="1"/>
        <v>0</v>
      </c>
    </row>
    <row r="37" spans="1:5" ht="21.75" customHeight="1">
      <c r="A37" s="164" t="s">
        <v>14</v>
      </c>
      <c r="B37" s="168">
        <f>SUM(B25,B26,B27:B34,B36,)</f>
        <v>3578900</v>
      </c>
      <c r="C37" s="168">
        <f>SUM(C25,C26,C27:C34,C36,)</f>
        <v>537954.8</v>
      </c>
      <c r="D37" s="166">
        <f t="shared" si="0"/>
        <v>15.031288943530136</v>
      </c>
      <c r="E37" s="167">
        <f t="shared" si="1"/>
        <v>-3040945.2</v>
      </c>
    </row>
    <row r="38" spans="1:5" ht="20.25" customHeight="1">
      <c r="A38" s="30" t="s">
        <v>64</v>
      </c>
      <c r="B38" s="24"/>
      <c r="C38" s="25"/>
      <c r="D38" s="26" t="str">
        <f t="shared" si="0"/>
        <v>   </v>
      </c>
      <c r="E38" s="49">
        <f t="shared" si="1"/>
        <v>0</v>
      </c>
    </row>
    <row r="39" spans="1:5" ht="12.75">
      <c r="A39" s="22" t="s">
        <v>15</v>
      </c>
      <c r="B39" s="51"/>
      <c r="C39" s="52"/>
      <c r="D39" s="26" t="str">
        <f t="shared" si="0"/>
        <v>   </v>
      </c>
      <c r="E39" s="49">
        <f t="shared" si="1"/>
        <v>0</v>
      </c>
    </row>
    <row r="40" spans="1:5" ht="12.75">
      <c r="A40" s="16" t="s">
        <v>48</v>
      </c>
      <c r="B40" s="25">
        <v>755700</v>
      </c>
      <c r="C40" s="25">
        <v>81722.76</v>
      </c>
      <c r="D40" s="26">
        <f t="shared" si="0"/>
        <v>10.814180230250098</v>
      </c>
      <c r="E40" s="49">
        <f t="shared" si="1"/>
        <v>-673977.24</v>
      </c>
    </row>
    <row r="41" spans="1:5" ht="13.5" customHeight="1">
      <c r="A41" s="16" t="s">
        <v>49</v>
      </c>
      <c r="B41" s="25">
        <v>755200</v>
      </c>
      <c r="C41" s="25">
        <v>81722.76</v>
      </c>
      <c r="D41" s="26">
        <f t="shared" si="0"/>
        <v>10.82134004237288</v>
      </c>
      <c r="E41" s="49">
        <f t="shared" si="1"/>
        <v>-673477.24</v>
      </c>
    </row>
    <row r="42" spans="1:5" ht="12.75">
      <c r="A42" s="118" t="s">
        <v>208</v>
      </c>
      <c r="B42" s="25">
        <v>476900</v>
      </c>
      <c r="C42" s="28">
        <v>53179.85</v>
      </c>
      <c r="D42" s="26">
        <f t="shared" si="0"/>
        <v>11.1511532816104</v>
      </c>
      <c r="E42" s="49">
        <f t="shared" si="1"/>
        <v>-423720.15</v>
      </c>
    </row>
    <row r="43" spans="1:5" ht="12.75">
      <c r="A43" s="16" t="s">
        <v>181</v>
      </c>
      <c r="B43" s="25">
        <v>100</v>
      </c>
      <c r="C43" s="28">
        <v>0</v>
      </c>
      <c r="D43" s="26">
        <f t="shared" si="0"/>
        <v>0</v>
      </c>
      <c r="E43" s="49">
        <f t="shared" si="1"/>
        <v>-100</v>
      </c>
    </row>
    <row r="44" spans="1:5" ht="12.75">
      <c r="A44" s="16" t="s">
        <v>141</v>
      </c>
      <c r="B44" s="25">
        <v>500</v>
      </c>
      <c r="C44" s="27">
        <v>0</v>
      </c>
      <c r="D44" s="26">
        <f t="shared" si="0"/>
        <v>0</v>
      </c>
      <c r="E44" s="49">
        <f t="shared" si="1"/>
        <v>-500</v>
      </c>
    </row>
    <row r="45" spans="1:5" ht="12.75">
      <c r="A45" s="16" t="s">
        <v>65</v>
      </c>
      <c r="B45" s="194">
        <f>SUM(B46)</f>
        <v>125700</v>
      </c>
      <c r="C45" s="194">
        <f>SUM(C46)</f>
        <v>14338.1</v>
      </c>
      <c r="D45" s="26">
        <f t="shared" si="0"/>
        <v>11.406603023070803</v>
      </c>
      <c r="E45" s="49">
        <f t="shared" si="1"/>
        <v>-111361.9</v>
      </c>
    </row>
    <row r="46" spans="1:5" ht="13.5" customHeight="1">
      <c r="A46" s="42" t="s">
        <v>176</v>
      </c>
      <c r="B46" s="25">
        <v>125700</v>
      </c>
      <c r="C46" s="27">
        <v>14338.1</v>
      </c>
      <c r="D46" s="26">
        <f t="shared" si="0"/>
        <v>11.406603023070803</v>
      </c>
      <c r="E46" s="49">
        <f t="shared" si="1"/>
        <v>-111361.9</v>
      </c>
    </row>
    <row r="47" spans="1:5" ht="16.5" customHeight="1">
      <c r="A47" s="16" t="s">
        <v>50</v>
      </c>
      <c r="B47" s="193">
        <f>SUM(B48)</f>
        <v>900</v>
      </c>
      <c r="C47" s="193">
        <f>SUM(C48)</f>
        <v>0</v>
      </c>
      <c r="D47" s="26">
        <f t="shared" si="0"/>
        <v>0</v>
      </c>
      <c r="E47" s="49">
        <f t="shared" si="1"/>
        <v>-900</v>
      </c>
    </row>
    <row r="48" spans="1:5" ht="22.5" customHeight="1">
      <c r="A48" s="47" t="s">
        <v>129</v>
      </c>
      <c r="B48" s="25">
        <v>900</v>
      </c>
      <c r="C48" s="27">
        <v>0</v>
      </c>
      <c r="D48" s="26">
        <f t="shared" si="0"/>
        <v>0</v>
      </c>
      <c r="E48" s="49">
        <f t="shared" si="1"/>
        <v>-900</v>
      </c>
    </row>
    <row r="49" spans="1:5" ht="12.75">
      <c r="A49" s="16" t="s">
        <v>51</v>
      </c>
      <c r="B49" s="193">
        <f>B50</f>
        <v>276800</v>
      </c>
      <c r="C49" s="193">
        <f>C50</f>
        <v>0</v>
      </c>
      <c r="D49" s="26">
        <f t="shared" si="0"/>
        <v>0</v>
      </c>
      <c r="E49" s="49">
        <f t="shared" si="1"/>
        <v>-276800</v>
      </c>
    </row>
    <row r="50" spans="1:5" ht="12.75">
      <c r="A50" s="145" t="s">
        <v>287</v>
      </c>
      <c r="B50" s="193">
        <f>B51+B52</f>
        <v>276800</v>
      </c>
      <c r="C50" s="193">
        <f>C51+C52</f>
        <v>0</v>
      </c>
      <c r="D50" s="26"/>
      <c r="E50" s="49"/>
    </row>
    <row r="51" spans="1:5" ht="31.5" customHeight="1">
      <c r="A51" s="91" t="s">
        <v>288</v>
      </c>
      <c r="B51" s="193">
        <v>176800</v>
      </c>
      <c r="C51" s="193">
        <v>0</v>
      </c>
      <c r="D51" s="26">
        <f t="shared" si="0"/>
        <v>0</v>
      </c>
      <c r="E51" s="49">
        <f t="shared" si="1"/>
        <v>-176800</v>
      </c>
    </row>
    <row r="52" spans="1:5" ht="35.25" customHeight="1">
      <c r="A52" s="91" t="s">
        <v>289</v>
      </c>
      <c r="B52" s="25">
        <v>100000</v>
      </c>
      <c r="C52" s="25">
        <v>0</v>
      </c>
      <c r="D52" s="26">
        <f t="shared" si="0"/>
        <v>0</v>
      </c>
      <c r="E52" s="49">
        <f t="shared" si="1"/>
        <v>-100000</v>
      </c>
    </row>
    <row r="53" spans="1:5" ht="15.75" customHeight="1">
      <c r="A53" s="16" t="s">
        <v>16</v>
      </c>
      <c r="B53" s="193">
        <f>SUM(B55,B54)</f>
        <v>330000</v>
      </c>
      <c r="C53" s="193">
        <f>SUM(C55,C54)</f>
        <v>132830.92</v>
      </c>
      <c r="D53" s="26">
        <f t="shared" si="0"/>
        <v>40.25179393939394</v>
      </c>
      <c r="E53" s="49">
        <f t="shared" si="1"/>
        <v>-197169.08</v>
      </c>
    </row>
    <row r="54" spans="1:5" ht="15.75" customHeight="1">
      <c r="A54" s="16" t="s">
        <v>130</v>
      </c>
      <c r="B54" s="25">
        <v>0</v>
      </c>
      <c r="C54" s="25">
        <v>0</v>
      </c>
      <c r="D54" s="26" t="str">
        <f t="shared" si="0"/>
        <v>   </v>
      </c>
      <c r="E54" s="49">
        <f t="shared" si="1"/>
        <v>0</v>
      </c>
    </row>
    <row r="55" spans="1:5" ht="12.75">
      <c r="A55" s="16" t="s">
        <v>79</v>
      </c>
      <c r="B55" s="25">
        <v>330000</v>
      </c>
      <c r="C55" s="25">
        <v>132830.92</v>
      </c>
      <c r="D55" s="26">
        <f t="shared" si="0"/>
        <v>40.25179393939394</v>
      </c>
      <c r="E55" s="49">
        <f t="shared" si="1"/>
        <v>-197169.08</v>
      </c>
    </row>
    <row r="56" spans="1:5" ht="12.75">
      <c r="A56" s="16" t="s">
        <v>77</v>
      </c>
      <c r="B56" s="25">
        <v>300000</v>
      </c>
      <c r="C56" s="27">
        <v>132830.92</v>
      </c>
      <c r="D56" s="26">
        <f t="shared" si="0"/>
        <v>44.27697333333334</v>
      </c>
      <c r="E56" s="49">
        <f t="shared" si="1"/>
        <v>-167169.08</v>
      </c>
    </row>
    <row r="57" spans="1:5" ht="12.75">
      <c r="A57" s="16" t="s">
        <v>80</v>
      </c>
      <c r="B57" s="25">
        <v>30000</v>
      </c>
      <c r="C57" s="27">
        <v>0</v>
      </c>
      <c r="D57" s="26">
        <f t="shared" si="0"/>
        <v>0</v>
      </c>
      <c r="E57" s="49">
        <f t="shared" si="1"/>
        <v>-30000</v>
      </c>
    </row>
    <row r="58" spans="1:5" ht="18" customHeight="1">
      <c r="A58" s="18" t="s">
        <v>24</v>
      </c>
      <c r="B58" s="31">
        <v>10000</v>
      </c>
      <c r="C58" s="31">
        <v>0</v>
      </c>
      <c r="D58" s="26">
        <f t="shared" si="0"/>
        <v>0</v>
      </c>
      <c r="E58" s="49">
        <f t="shared" si="1"/>
        <v>-10000</v>
      </c>
    </row>
    <row r="59" spans="1:5" ht="15" customHeight="1">
      <c r="A59" s="16" t="s">
        <v>54</v>
      </c>
      <c r="B59" s="191">
        <f>B60</f>
        <v>1897900</v>
      </c>
      <c r="C59" s="191">
        <f>C60</f>
        <v>298500</v>
      </c>
      <c r="D59" s="26">
        <f t="shared" si="0"/>
        <v>15.727909795036618</v>
      </c>
      <c r="E59" s="49">
        <f t="shared" si="1"/>
        <v>-1599400</v>
      </c>
    </row>
    <row r="60" spans="1:5" ht="12.75">
      <c r="A60" s="16" t="s">
        <v>55</v>
      </c>
      <c r="B60" s="25">
        <v>1897900</v>
      </c>
      <c r="C60" s="27">
        <v>298500</v>
      </c>
      <c r="D60" s="26">
        <f t="shared" si="0"/>
        <v>15.727909795036618</v>
      </c>
      <c r="E60" s="49">
        <f t="shared" si="1"/>
        <v>-1599400</v>
      </c>
    </row>
    <row r="61" spans="1:5" ht="12.75">
      <c r="A61" s="118" t="s">
        <v>209</v>
      </c>
      <c r="B61" s="25">
        <v>0</v>
      </c>
      <c r="C61" s="27">
        <v>0</v>
      </c>
      <c r="D61" s="26" t="str">
        <f t="shared" si="0"/>
        <v>   </v>
      </c>
      <c r="E61" s="49">
        <f t="shared" si="1"/>
        <v>0</v>
      </c>
    </row>
    <row r="62" spans="1:5" ht="12.75">
      <c r="A62" s="16" t="s">
        <v>177</v>
      </c>
      <c r="B62" s="25">
        <v>6600</v>
      </c>
      <c r="C62" s="27">
        <v>6600</v>
      </c>
      <c r="D62" s="26">
        <f t="shared" si="0"/>
        <v>100</v>
      </c>
      <c r="E62" s="49">
        <f t="shared" si="1"/>
        <v>0</v>
      </c>
    </row>
    <row r="63" spans="1:5" ht="12.75">
      <c r="A63" s="16" t="s">
        <v>215</v>
      </c>
      <c r="B63" s="193">
        <f>SUM(B64,)</f>
        <v>20000</v>
      </c>
      <c r="C63" s="193">
        <f>SUM(C64,)</f>
        <v>0</v>
      </c>
      <c r="D63" s="26">
        <f t="shared" si="0"/>
        <v>0</v>
      </c>
      <c r="E63" s="49">
        <f t="shared" si="1"/>
        <v>-20000</v>
      </c>
    </row>
    <row r="64" spans="1:5" ht="12.75">
      <c r="A64" s="16" t="s">
        <v>56</v>
      </c>
      <c r="B64" s="25">
        <v>20000</v>
      </c>
      <c r="C64" s="28">
        <v>0</v>
      </c>
      <c r="D64" s="26">
        <f t="shared" si="0"/>
        <v>0</v>
      </c>
      <c r="E64" s="49">
        <f t="shared" si="1"/>
        <v>-20000</v>
      </c>
    </row>
    <row r="65" spans="1:5" ht="12.75">
      <c r="A65" s="16" t="s">
        <v>18</v>
      </c>
      <c r="B65" s="193">
        <f>B66</f>
        <v>161900</v>
      </c>
      <c r="C65" s="193">
        <f>C66</f>
        <v>0</v>
      </c>
      <c r="D65" s="26">
        <f t="shared" si="0"/>
        <v>0</v>
      </c>
      <c r="E65" s="49">
        <f t="shared" si="1"/>
        <v>-161900</v>
      </c>
    </row>
    <row r="66" spans="1:5" ht="14.25" customHeight="1">
      <c r="A66" s="16" t="s">
        <v>222</v>
      </c>
      <c r="B66" s="193">
        <f>SUM(B76,B67)</f>
        <v>161900</v>
      </c>
      <c r="C66" s="193">
        <f>SUM(C76,C67)</f>
        <v>0</v>
      </c>
      <c r="D66" s="26">
        <f t="shared" si="0"/>
        <v>0</v>
      </c>
      <c r="E66" s="49">
        <f t="shared" si="1"/>
        <v>-161900</v>
      </c>
    </row>
    <row r="67" spans="1:5" ht="18" customHeight="1">
      <c r="A67" s="119" t="s">
        <v>254</v>
      </c>
      <c r="B67" s="198">
        <f>SUM(B68,B72)</f>
        <v>161900</v>
      </c>
      <c r="C67" s="198">
        <f>SUM(C68,C72)</f>
        <v>0</v>
      </c>
      <c r="D67" s="26">
        <f t="shared" si="0"/>
        <v>0</v>
      </c>
      <c r="E67" s="49">
        <f t="shared" si="1"/>
        <v>-161900</v>
      </c>
    </row>
    <row r="68" spans="1:5" ht="17.25" customHeight="1">
      <c r="A68" s="16" t="s">
        <v>227</v>
      </c>
      <c r="B68" s="193">
        <f>SUM(B69:B71)</f>
        <v>161900</v>
      </c>
      <c r="C68" s="193">
        <f>SUM(C69:C71)</f>
        <v>0</v>
      </c>
      <c r="D68" s="26">
        <f aca="true" t="shared" si="2" ref="D68:D81">IF(B68=0,"   ",C68/B68*100)</f>
        <v>0</v>
      </c>
      <c r="E68" s="49">
        <f t="shared" si="1"/>
        <v>-161900</v>
      </c>
    </row>
    <row r="69" spans="1:5" ht="17.25" customHeight="1">
      <c r="A69" s="47" t="s">
        <v>234</v>
      </c>
      <c r="B69" s="25">
        <v>0</v>
      </c>
      <c r="C69" s="27">
        <v>0</v>
      </c>
      <c r="D69" s="26" t="str">
        <f t="shared" si="2"/>
        <v>   </v>
      </c>
      <c r="E69" s="49">
        <f t="shared" si="1"/>
        <v>0</v>
      </c>
    </row>
    <row r="70" spans="1:5" ht="17.25" customHeight="1">
      <c r="A70" s="47" t="s">
        <v>235</v>
      </c>
      <c r="B70" s="25">
        <v>0</v>
      </c>
      <c r="C70" s="27"/>
      <c r="D70" s="26" t="str">
        <f t="shared" si="2"/>
        <v>   </v>
      </c>
      <c r="E70" s="49">
        <f t="shared" si="1"/>
        <v>0</v>
      </c>
    </row>
    <row r="71" spans="1:5" ht="17.25" customHeight="1">
      <c r="A71" s="47" t="s">
        <v>236</v>
      </c>
      <c r="B71" s="25">
        <v>161900</v>
      </c>
      <c r="C71" s="27">
        <v>0</v>
      </c>
      <c r="D71" s="26">
        <f t="shared" si="2"/>
        <v>0</v>
      </c>
      <c r="E71" s="49">
        <f t="shared" si="1"/>
        <v>-161900</v>
      </c>
    </row>
    <row r="72" spans="1:5" ht="26.25" customHeight="1">
      <c r="A72" s="16" t="s">
        <v>274</v>
      </c>
      <c r="B72" s="193">
        <f>SUM(B73:B75)</f>
        <v>0</v>
      </c>
      <c r="C72" s="193">
        <f>SUM(C73:C75)</f>
        <v>0</v>
      </c>
      <c r="D72" s="26" t="str">
        <f t="shared" si="2"/>
        <v>   </v>
      </c>
      <c r="E72" s="49">
        <f t="shared" si="1"/>
        <v>0</v>
      </c>
    </row>
    <row r="73" spans="1:5" ht="13.5" customHeight="1">
      <c r="A73" s="47" t="s">
        <v>234</v>
      </c>
      <c r="B73" s="25">
        <v>0</v>
      </c>
      <c r="C73" s="27"/>
      <c r="D73" s="26" t="str">
        <f t="shared" si="2"/>
        <v>   </v>
      </c>
      <c r="E73" s="49">
        <f t="shared" si="1"/>
        <v>0</v>
      </c>
    </row>
    <row r="74" spans="1:5" ht="13.5" customHeight="1">
      <c r="A74" s="47" t="s">
        <v>235</v>
      </c>
      <c r="B74" s="25">
        <v>0</v>
      </c>
      <c r="C74" s="27">
        <v>0</v>
      </c>
      <c r="D74" s="26" t="str">
        <f t="shared" si="2"/>
        <v>   </v>
      </c>
      <c r="E74" s="49">
        <f t="shared" si="1"/>
        <v>0</v>
      </c>
    </row>
    <row r="75" spans="1:5" ht="13.5" customHeight="1">
      <c r="A75" s="47" t="s">
        <v>236</v>
      </c>
      <c r="B75" s="25"/>
      <c r="C75" s="27"/>
      <c r="D75" s="26" t="str">
        <f t="shared" si="2"/>
        <v>   </v>
      </c>
      <c r="E75" s="49">
        <f t="shared" si="1"/>
        <v>0</v>
      </c>
    </row>
    <row r="76" spans="1:5" ht="17.25" customHeight="1">
      <c r="A76" s="119" t="s">
        <v>228</v>
      </c>
      <c r="B76" s="198">
        <f>SUM(B77:B79)</f>
        <v>0</v>
      </c>
      <c r="C76" s="198">
        <f>SUM(C77:C79)</f>
        <v>0</v>
      </c>
      <c r="D76" s="26" t="str">
        <f t="shared" si="2"/>
        <v>   </v>
      </c>
      <c r="E76" s="49">
        <f t="shared" si="1"/>
        <v>0</v>
      </c>
    </row>
    <row r="77" spans="1:5" ht="12" customHeight="1">
      <c r="A77" s="47" t="s">
        <v>234</v>
      </c>
      <c r="B77" s="120">
        <v>0</v>
      </c>
      <c r="C77" s="121">
        <v>0</v>
      </c>
      <c r="D77" s="26" t="str">
        <f t="shared" si="2"/>
        <v>   </v>
      </c>
      <c r="E77" s="49">
        <f t="shared" si="1"/>
        <v>0</v>
      </c>
    </row>
    <row r="78" spans="1:5" ht="11.25" customHeight="1">
      <c r="A78" s="47" t="s">
        <v>235</v>
      </c>
      <c r="B78" s="120">
        <v>0</v>
      </c>
      <c r="C78" s="121">
        <v>0</v>
      </c>
      <c r="D78" s="26" t="str">
        <f t="shared" si="2"/>
        <v>   </v>
      </c>
      <c r="E78" s="49">
        <f t="shared" si="1"/>
        <v>0</v>
      </c>
    </row>
    <row r="79" spans="1:5" ht="11.25" customHeight="1">
      <c r="A79" s="47" t="s">
        <v>236</v>
      </c>
      <c r="B79" s="120">
        <v>0</v>
      </c>
      <c r="C79" s="121">
        <v>0</v>
      </c>
      <c r="D79" s="26" t="str">
        <f t="shared" si="2"/>
        <v>   </v>
      </c>
      <c r="E79" s="49">
        <f t="shared" si="1"/>
        <v>0</v>
      </c>
    </row>
    <row r="80" spans="1:5" ht="18" customHeight="1">
      <c r="A80" s="164" t="s">
        <v>19</v>
      </c>
      <c r="B80" s="168">
        <f>SUM(B40,B45,B47,B49,B53,B58,B59,B63,B65,)</f>
        <v>3578900</v>
      </c>
      <c r="C80" s="168">
        <f>SUM(C40,C45,C47,C49,C53,C58,C59,C63,C65,)</f>
        <v>527391.78</v>
      </c>
      <c r="D80" s="166">
        <f t="shared" si="2"/>
        <v>14.736141831288943</v>
      </c>
      <c r="E80" s="167">
        <f t="shared" si="1"/>
        <v>-3051508.2199999997</v>
      </c>
    </row>
    <row r="81" spans="1:5" ht="16.5" customHeight="1" thickBot="1">
      <c r="A81" s="98" t="s">
        <v>211</v>
      </c>
      <c r="B81" s="212">
        <f>B42+B61</f>
        <v>476900</v>
      </c>
      <c r="C81" s="212">
        <f>C42+C61</f>
        <v>53179.85</v>
      </c>
      <c r="D81" s="99">
        <f t="shared" si="2"/>
        <v>11.1511532816104</v>
      </c>
      <c r="E81" s="100">
        <f t="shared" si="1"/>
        <v>-423720.15</v>
      </c>
    </row>
    <row r="82" spans="1:5" s="76" customFormat="1" ht="23.25" customHeight="1">
      <c r="A82" s="110" t="s">
        <v>251</v>
      </c>
      <c r="B82" s="110"/>
      <c r="C82" s="250"/>
      <c r="D82" s="250"/>
      <c r="E82" s="250"/>
    </row>
    <row r="83" spans="1:5" s="76" customFormat="1" ht="12" customHeight="1">
      <c r="A83" s="110" t="s">
        <v>250</v>
      </c>
      <c r="B83" s="110"/>
      <c r="C83" s="111" t="s">
        <v>252</v>
      </c>
      <c r="D83" s="112"/>
      <c r="E83" s="113"/>
    </row>
    <row r="84" spans="1:5" ht="12.75">
      <c r="A84" s="7"/>
      <c r="B84" s="7"/>
      <c r="C84" s="6"/>
      <c r="D84" s="7"/>
      <c r="E84" s="2"/>
    </row>
    <row r="85" spans="1:5" ht="12.75">
      <c r="A85" s="7"/>
      <c r="B85" s="7"/>
      <c r="C85" s="6"/>
      <c r="D85" s="7"/>
      <c r="E85" s="2"/>
    </row>
    <row r="86" spans="1:5" ht="12.75">
      <c r="A86" s="7"/>
      <c r="B86" s="7"/>
      <c r="C86" s="6"/>
      <c r="D86" s="7"/>
      <c r="E86" s="2"/>
    </row>
    <row r="87" spans="1:5" ht="12.75">
      <c r="A87" s="7"/>
      <c r="B87" s="7"/>
      <c r="C87" s="6"/>
      <c r="D87" s="7"/>
      <c r="E87" s="2"/>
    </row>
  </sheetData>
  <mergeCells count="2">
    <mergeCell ref="A1:E1"/>
    <mergeCell ref="C82:E82"/>
  </mergeCells>
  <printOptions/>
  <pageMargins left="0.75" right="0.75" top="0.48" bottom="0.46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1"/>
  <sheetViews>
    <sheetView workbookViewId="0" topLeftCell="A16">
      <selection activeCell="B55" sqref="B55"/>
    </sheetView>
  </sheetViews>
  <sheetFormatPr defaultColWidth="9.00390625" defaultRowHeight="12.75"/>
  <cols>
    <col min="1" max="1" width="89.25390625" style="0" customWidth="1"/>
    <col min="2" max="2" width="18.625" style="0" customWidth="1"/>
    <col min="3" max="3" width="19.25390625" style="0" customWidth="1"/>
    <col min="4" max="4" width="18.25390625" style="0" customWidth="1"/>
    <col min="5" max="5" width="19.125" style="0" customWidth="1"/>
  </cols>
  <sheetData>
    <row r="1" spans="1:5" ht="18">
      <c r="A1" s="252" t="s">
        <v>311</v>
      </c>
      <c r="B1" s="252"/>
      <c r="C1" s="252"/>
      <c r="D1" s="252"/>
      <c r="E1" s="252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3">
      <c r="A4" s="35" t="s">
        <v>1</v>
      </c>
      <c r="B4" s="19" t="s">
        <v>284</v>
      </c>
      <c r="C4" s="32" t="s">
        <v>305</v>
      </c>
      <c r="D4" s="19" t="s">
        <v>292</v>
      </c>
      <c r="E4" s="19" t="s">
        <v>293</v>
      </c>
    </row>
    <row r="5" spans="1:5" ht="12.75">
      <c r="A5" s="13">
        <v>1</v>
      </c>
      <c r="B5" s="97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58</v>
      </c>
      <c r="B7" s="191">
        <f>SUM(B8)</f>
        <v>80300</v>
      </c>
      <c r="C7" s="191">
        <f>C8</f>
        <v>5930.52</v>
      </c>
      <c r="D7" s="26">
        <f aca="true" t="shared" si="0" ref="D7:D70">IF(B7=0,"   ",C7/B7*100)</f>
        <v>7.385454545454547</v>
      </c>
      <c r="E7" s="49">
        <f aca="true" t="shared" si="1" ref="E7:E75">C7-B7</f>
        <v>-74369.48</v>
      </c>
    </row>
    <row r="8" spans="1:5" ht="12.75">
      <c r="A8" s="16" t="s">
        <v>57</v>
      </c>
      <c r="B8" s="25">
        <v>80300</v>
      </c>
      <c r="C8" s="27">
        <v>5930.52</v>
      </c>
      <c r="D8" s="26">
        <f t="shared" si="0"/>
        <v>7.385454545454547</v>
      </c>
      <c r="E8" s="49">
        <f t="shared" si="1"/>
        <v>-74369.48</v>
      </c>
    </row>
    <row r="9" spans="1:5" ht="13.5" customHeight="1">
      <c r="A9" s="16" t="s">
        <v>7</v>
      </c>
      <c r="B9" s="193">
        <f>SUM(B10:B10)</f>
        <v>51600</v>
      </c>
      <c r="C9" s="193">
        <f>SUM(C10:C10)</f>
        <v>218.71</v>
      </c>
      <c r="D9" s="26">
        <f t="shared" si="0"/>
        <v>0.42385658914728686</v>
      </c>
      <c r="E9" s="49">
        <f t="shared" si="1"/>
        <v>-51381.29</v>
      </c>
    </row>
    <row r="10" spans="1:5" ht="13.5" customHeight="1">
      <c r="A10" s="16" t="s">
        <v>38</v>
      </c>
      <c r="B10" s="25">
        <v>51600</v>
      </c>
      <c r="C10" s="27">
        <v>218.71</v>
      </c>
      <c r="D10" s="26">
        <f t="shared" si="0"/>
        <v>0.42385658914728686</v>
      </c>
      <c r="E10" s="49">
        <f t="shared" si="1"/>
        <v>-51381.29</v>
      </c>
    </row>
    <row r="11" spans="1:5" ht="12.75">
      <c r="A11" s="16" t="s">
        <v>9</v>
      </c>
      <c r="B11" s="193">
        <f>SUM(B12:B13)</f>
        <v>110600</v>
      </c>
      <c r="C11" s="193">
        <f>SUM(C12:C13)</f>
        <v>24164.350000000002</v>
      </c>
      <c r="D11" s="26">
        <f t="shared" si="0"/>
        <v>21.848417721518988</v>
      </c>
      <c r="E11" s="49">
        <f t="shared" si="1"/>
        <v>-86435.65</v>
      </c>
    </row>
    <row r="12" spans="1:5" ht="13.5" customHeight="1">
      <c r="A12" s="16" t="s">
        <v>39</v>
      </c>
      <c r="B12" s="25">
        <v>28700</v>
      </c>
      <c r="C12" s="27">
        <v>84.52</v>
      </c>
      <c r="D12" s="26">
        <f t="shared" si="0"/>
        <v>0.29449477351916376</v>
      </c>
      <c r="E12" s="49">
        <f t="shared" si="1"/>
        <v>-28615.48</v>
      </c>
    </row>
    <row r="13" spans="1:5" ht="12.75">
      <c r="A13" s="16" t="s">
        <v>10</v>
      </c>
      <c r="B13" s="25">
        <v>81900</v>
      </c>
      <c r="C13" s="27">
        <v>24079.83</v>
      </c>
      <c r="D13" s="26">
        <f t="shared" si="0"/>
        <v>29.401501831501836</v>
      </c>
      <c r="E13" s="49">
        <f t="shared" si="1"/>
        <v>-57820.17</v>
      </c>
    </row>
    <row r="14" spans="1:5" ht="25.5">
      <c r="A14" s="16" t="s">
        <v>126</v>
      </c>
      <c r="B14" s="25">
        <v>0</v>
      </c>
      <c r="C14" s="27">
        <v>0</v>
      </c>
      <c r="D14" s="26" t="str">
        <f t="shared" si="0"/>
        <v>   </v>
      </c>
      <c r="E14" s="49">
        <f t="shared" si="1"/>
        <v>0</v>
      </c>
    </row>
    <row r="15" spans="1:5" ht="26.25" customHeight="1">
      <c r="A15" s="16" t="s">
        <v>40</v>
      </c>
      <c r="B15" s="193">
        <f>B17+B16</f>
        <v>28500</v>
      </c>
      <c r="C15" s="191">
        <f>SUM(C16:C17)</f>
        <v>4858.13</v>
      </c>
      <c r="D15" s="26">
        <f t="shared" si="0"/>
        <v>17.046070175438597</v>
      </c>
      <c r="E15" s="49">
        <f t="shared" si="1"/>
        <v>-23641.87</v>
      </c>
    </row>
    <row r="16" spans="1:5" ht="12.75">
      <c r="A16" s="16" t="s">
        <v>41</v>
      </c>
      <c r="B16" s="25">
        <v>28300</v>
      </c>
      <c r="C16" s="27">
        <v>4858.13</v>
      </c>
      <c r="D16" s="26">
        <f t="shared" si="0"/>
        <v>17.166537102473498</v>
      </c>
      <c r="E16" s="49">
        <f t="shared" si="1"/>
        <v>-23441.87</v>
      </c>
    </row>
    <row r="17" spans="1:5" ht="25.5" customHeight="1">
      <c r="A17" s="16" t="s">
        <v>42</v>
      </c>
      <c r="B17" s="25">
        <v>200</v>
      </c>
      <c r="C17" s="27">
        <v>0</v>
      </c>
      <c r="D17" s="26">
        <f t="shared" si="0"/>
        <v>0</v>
      </c>
      <c r="E17" s="49">
        <f t="shared" si="1"/>
        <v>-200</v>
      </c>
    </row>
    <row r="18" spans="1:5" ht="18.75" customHeight="1">
      <c r="A18" s="42" t="s">
        <v>131</v>
      </c>
      <c r="B18" s="25">
        <v>0</v>
      </c>
      <c r="C18" s="27">
        <v>0</v>
      </c>
      <c r="D18" s="26" t="str">
        <f t="shared" si="0"/>
        <v>   </v>
      </c>
      <c r="E18" s="49">
        <f t="shared" si="1"/>
        <v>0</v>
      </c>
    </row>
    <row r="19" spans="1:5" ht="18.75" customHeight="1">
      <c r="A19" s="16" t="s">
        <v>101</v>
      </c>
      <c r="B19" s="193">
        <f>SUM(B20)</f>
        <v>0</v>
      </c>
      <c r="C19" s="193">
        <f>SUM(C20)</f>
        <v>0</v>
      </c>
      <c r="D19" s="26" t="str">
        <f t="shared" si="0"/>
        <v>   </v>
      </c>
      <c r="E19" s="49">
        <f t="shared" si="1"/>
        <v>0</v>
      </c>
    </row>
    <row r="20" spans="1:5" ht="26.25" customHeight="1">
      <c r="A20" s="16" t="s">
        <v>102</v>
      </c>
      <c r="B20" s="25">
        <v>0</v>
      </c>
      <c r="C20" s="27">
        <v>0</v>
      </c>
      <c r="D20" s="26" t="str">
        <f t="shared" si="0"/>
        <v>   </v>
      </c>
      <c r="E20" s="49">
        <f t="shared" si="1"/>
        <v>0</v>
      </c>
    </row>
    <row r="21" spans="1:5" ht="17.25" customHeight="1">
      <c r="A21" s="16" t="s">
        <v>44</v>
      </c>
      <c r="B21" s="191">
        <f>B22</f>
        <v>0</v>
      </c>
      <c r="C21" s="191">
        <f>C22</f>
        <v>797.63</v>
      </c>
      <c r="D21" s="26" t="str">
        <f t="shared" si="0"/>
        <v>   </v>
      </c>
      <c r="E21" s="49">
        <f t="shared" si="1"/>
        <v>797.63</v>
      </c>
    </row>
    <row r="22" spans="1:5" ht="15.75" customHeight="1">
      <c r="A22" s="16" t="s">
        <v>182</v>
      </c>
      <c r="B22" s="25">
        <v>0</v>
      </c>
      <c r="C22" s="27">
        <v>797.63</v>
      </c>
      <c r="D22" s="26" t="str">
        <f t="shared" si="0"/>
        <v>   </v>
      </c>
      <c r="E22" s="49">
        <f t="shared" si="1"/>
        <v>797.63</v>
      </c>
    </row>
    <row r="23" spans="1:5" ht="15" customHeight="1">
      <c r="A23" s="16" t="s">
        <v>43</v>
      </c>
      <c r="B23" s="25">
        <v>0</v>
      </c>
      <c r="C23" s="25">
        <v>0</v>
      </c>
      <c r="D23" s="26" t="str">
        <f t="shared" si="0"/>
        <v>   </v>
      </c>
      <c r="E23" s="49">
        <f t="shared" si="1"/>
        <v>0</v>
      </c>
    </row>
    <row r="24" spans="1:5" ht="18" customHeight="1">
      <c r="A24" s="164" t="s">
        <v>11</v>
      </c>
      <c r="B24" s="165">
        <f>SUM(B7,B9,B11,B14,B15,B18,B19,B22,B23,)</f>
        <v>271000</v>
      </c>
      <c r="C24" s="165">
        <f>SUM(C7,C9,C11,C14,C15,C18,C19,C22,C23,)</f>
        <v>35969.34</v>
      </c>
      <c r="D24" s="166">
        <f t="shared" si="0"/>
        <v>13.272819188191882</v>
      </c>
      <c r="E24" s="167">
        <f t="shared" si="1"/>
        <v>-235030.66</v>
      </c>
    </row>
    <row r="25" spans="1:5" ht="16.5" customHeight="1">
      <c r="A25" s="17" t="s">
        <v>46</v>
      </c>
      <c r="B25" s="24">
        <v>989800</v>
      </c>
      <c r="C25" s="24">
        <v>173050</v>
      </c>
      <c r="D25" s="26">
        <f t="shared" si="0"/>
        <v>17.483329965649627</v>
      </c>
      <c r="E25" s="49">
        <f t="shared" si="1"/>
        <v>-816750</v>
      </c>
    </row>
    <row r="26" spans="1:5" ht="13.5" customHeight="1">
      <c r="A26" s="16" t="s">
        <v>63</v>
      </c>
      <c r="B26" s="25">
        <v>447100</v>
      </c>
      <c r="C26" s="27">
        <v>0</v>
      </c>
      <c r="D26" s="26">
        <f t="shared" si="0"/>
        <v>0</v>
      </c>
      <c r="E26" s="49">
        <f t="shared" si="1"/>
        <v>-447100</v>
      </c>
    </row>
    <row r="27" spans="1:5" ht="39" customHeight="1">
      <c r="A27" s="200" t="s">
        <v>67</v>
      </c>
      <c r="B27" s="201">
        <v>50300</v>
      </c>
      <c r="C27" s="205">
        <v>8400</v>
      </c>
      <c r="D27" s="202">
        <f t="shared" si="0"/>
        <v>16.69980119284294</v>
      </c>
      <c r="E27" s="203">
        <f t="shared" si="1"/>
        <v>-41900</v>
      </c>
    </row>
    <row r="28" spans="1:5" ht="26.25" customHeight="1">
      <c r="A28" s="204" t="s">
        <v>140</v>
      </c>
      <c r="B28" s="201">
        <v>0</v>
      </c>
      <c r="C28" s="201">
        <v>0</v>
      </c>
      <c r="D28" s="202" t="str">
        <f t="shared" si="0"/>
        <v>   </v>
      </c>
      <c r="E28" s="203">
        <f t="shared" si="1"/>
        <v>0</v>
      </c>
    </row>
    <row r="29" spans="1:5" ht="27.75" customHeight="1">
      <c r="A29" s="16" t="s">
        <v>294</v>
      </c>
      <c r="B29" s="25">
        <v>307100</v>
      </c>
      <c r="C29" s="27">
        <v>0</v>
      </c>
      <c r="D29" s="26">
        <f t="shared" si="0"/>
        <v>0</v>
      </c>
      <c r="E29" s="49">
        <f t="shared" si="1"/>
        <v>-307100</v>
      </c>
    </row>
    <row r="30" spans="1:5" ht="33.75" customHeight="1">
      <c r="A30" s="200" t="s">
        <v>149</v>
      </c>
      <c r="B30" s="201">
        <v>6600</v>
      </c>
      <c r="C30" s="201">
        <v>0</v>
      </c>
      <c r="D30" s="202">
        <f t="shared" si="0"/>
        <v>0</v>
      </c>
      <c r="E30" s="203">
        <f t="shared" si="1"/>
        <v>-6600</v>
      </c>
    </row>
    <row r="31" spans="1:5" ht="16.5" customHeight="1">
      <c r="A31" s="16" t="s">
        <v>106</v>
      </c>
      <c r="B31" s="193">
        <v>74300</v>
      </c>
      <c r="C31" s="193">
        <f>C32</f>
        <v>0</v>
      </c>
      <c r="D31" s="26">
        <f t="shared" si="0"/>
        <v>0</v>
      </c>
      <c r="E31" s="49">
        <f t="shared" si="1"/>
        <v>-74300</v>
      </c>
    </row>
    <row r="32" spans="1:5" ht="16.5" customHeight="1">
      <c r="A32" s="16" t="s">
        <v>180</v>
      </c>
      <c r="B32" s="25">
        <v>74300</v>
      </c>
      <c r="C32" s="27">
        <v>0</v>
      </c>
      <c r="D32" s="26">
        <f t="shared" si="0"/>
        <v>0</v>
      </c>
      <c r="E32" s="49">
        <f t="shared" si="1"/>
        <v>-74300</v>
      </c>
    </row>
    <row r="33" spans="1:5" ht="54.75" customHeight="1">
      <c r="A33" s="16" t="s">
        <v>219</v>
      </c>
      <c r="B33" s="25">
        <v>0</v>
      </c>
      <c r="C33" s="27">
        <v>0</v>
      </c>
      <c r="D33" s="26" t="str">
        <f t="shared" si="0"/>
        <v>   </v>
      </c>
      <c r="E33" s="49">
        <f t="shared" si="1"/>
        <v>0</v>
      </c>
    </row>
    <row r="34" spans="1:5" ht="42.75" customHeight="1">
      <c r="A34" s="16" t="s">
        <v>154</v>
      </c>
      <c r="B34" s="25">
        <v>0</v>
      </c>
      <c r="C34" s="25">
        <v>0</v>
      </c>
      <c r="D34" s="26" t="str">
        <f t="shared" si="0"/>
        <v>   </v>
      </c>
      <c r="E34" s="49">
        <f t="shared" si="1"/>
        <v>0</v>
      </c>
    </row>
    <row r="35" spans="1:5" ht="21" customHeight="1">
      <c r="A35" s="164" t="s">
        <v>14</v>
      </c>
      <c r="B35" s="168">
        <f>SUM(B24,B25,B26:B30,B31,B33,B34,)</f>
        <v>2146200</v>
      </c>
      <c r="C35" s="168">
        <f>SUM(C24,C25,C26:C30,C31,C33,C34,)</f>
        <v>217419.34</v>
      </c>
      <c r="D35" s="166">
        <f t="shared" si="0"/>
        <v>10.130432392134935</v>
      </c>
      <c r="E35" s="167">
        <f t="shared" si="1"/>
        <v>-1928780.66</v>
      </c>
    </row>
    <row r="36" spans="1:5" ht="12.75">
      <c r="A36" s="22" t="s">
        <v>15</v>
      </c>
      <c r="B36" s="51"/>
      <c r="C36" s="52"/>
      <c r="D36" s="26" t="str">
        <f t="shared" si="0"/>
        <v>   </v>
      </c>
      <c r="E36" s="49">
        <f t="shared" si="1"/>
        <v>0</v>
      </c>
    </row>
    <row r="37" spans="1:5" ht="12.75">
      <c r="A37" s="16" t="s">
        <v>48</v>
      </c>
      <c r="B37" s="25">
        <v>755600</v>
      </c>
      <c r="C37" s="25">
        <v>56603.43</v>
      </c>
      <c r="D37" s="26">
        <f t="shared" si="0"/>
        <v>7.491189782953944</v>
      </c>
      <c r="E37" s="49">
        <f t="shared" si="1"/>
        <v>-698996.57</v>
      </c>
    </row>
    <row r="38" spans="1:5" ht="13.5" customHeight="1">
      <c r="A38" s="16" t="s">
        <v>49</v>
      </c>
      <c r="B38" s="25">
        <v>755100</v>
      </c>
      <c r="C38" s="25">
        <v>56603.43</v>
      </c>
      <c r="D38" s="26">
        <f t="shared" si="0"/>
        <v>7.496150178784267</v>
      </c>
      <c r="E38" s="49">
        <f t="shared" si="1"/>
        <v>-698496.57</v>
      </c>
    </row>
    <row r="39" spans="1:5" ht="12.75">
      <c r="A39" s="118" t="s">
        <v>209</v>
      </c>
      <c r="B39" s="25">
        <v>476900</v>
      </c>
      <c r="C39" s="28">
        <v>45608.47</v>
      </c>
      <c r="D39" s="26">
        <f t="shared" si="0"/>
        <v>9.563529041727826</v>
      </c>
      <c r="E39" s="49">
        <f t="shared" si="1"/>
        <v>-431291.53</v>
      </c>
    </row>
    <row r="40" spans="1:5" ht="12.75">
      <c r="A40" s="16" t="s">
        <v>181</v>
      </c>
      <c r="B40" s="25">
        <v>0</v>
      </c>
      <c r="C40" s="28">
        <v>0</v>
      </c>
      <c r="D40" s="26" t="str">
        <f t="shared" si="0"/>
        <v>   </v>
      </c>
      <c r="E40" s="49">
        <f t="shared" si="1"/>
        <v>0</v>
      </c>
    </row>
    <row r="41" spans="1:5" ht="12.75">
      <c r="A41" s="16" t="s">
        <v>141</v>
      </c>
      <c r="B41" s="25">
        <v>500</v>
      </c>
      <c r="C41" s="27">
        <v>0</v>
      </c>
      <c r="D41" s="26">
        <f t="shared" si="0"/>
        <v>0</v>
      </c>
      <c r="E41" s="49">
        <f t="shared" si="1"/>
        <v>-500</v>
      </c>
    </row>
    <row r="42" spans="1:5" ht="12.75">
      <c r="A42" s="16" t="s">
        <v>65</v>
      </c>
      <c r="B42" s="194">
        <f>SUM(B43)</f>
        <v>50300</v>
      </c>
      <c r="C42" s="194">
        <f>SUM(C43)</f>
        <v>2988.76</v>
      </c>
      <c r="D42" s="26">
        <f t="shared" si="0"/>
        <v>5.941868787276342</v>
      </c>
      <c r="E42" s="49">
        <f t="shared" si="1"/>
        <v>-47311.24</v>
      </c>
    </row>
    <row r="43" spans="1:5" ht="24" customHeight="1">
      <c r="A43" s="42" t="s">
        <v>176</v>
      </c>
      <c r="B43" s="25">
        <v>50300</v>
      </c>
      <c r="C43" s="27">
        <v>2988.76</v>
      </c>
      <c r="D43" s="26">
        <f t="shared" si="0"/>
        <v>5.941868787276342</v>
      </c>
      <c r="E43" s="49">
        <f t="shared" si="1"/>
        <v>-47311.24</v>
      </c>
    </row>
    <row r="44" spans="1:5" ht="17.25" customHeight="1">
      <c r="A44" s="16" t="s">
        <v>50</v>
      </c>
      <c r="B44" s="193">
        <f>SUM(B45)</f>
        <v>400</v>
      </c>
      <c r="C44" s="194">
        <f>SUM(C45)</f>
        <v>0</v>
      </c>
      <c r="D44" s="26">
        <f t="shared" si="0"/>
        <v>0</v>
      </c>
      <c r="E44" s="49">
        <f t="shared" si="1"/>
        <v>-400</v>
      </c>
    </row>
    <row r="45" spans="1:5" ht="27.75" customHeight="1">
      <c r="A45" s="47" t="s">
        <v>129</v>
      </c>
      <c r="B45" s="25">
        <v>400</v>
      </c>
      <c r="C45" s="27">
        <v>0</v>
      </c>
      <c r="D45" s="26">
        <f t="shared" si="0"/>
        <v>0</v>
      </c>
      <c r="E45" s="49">
        <f t="shared" si="1"/>
        <v>-400</v>
      </c>
    </row>
    <row r="46" spans="1:5" ht="12.75">
      <c r="A46" s="16" t="s">
        <v>51</v>
      </c>
      <c r="B46" s="193">
        <f>B47</f>
        <v>134300</v>
      </c>
      <c r="C46" s="193">
        <f>C47</f>
        <v>0</v>
      </c>
      <c r="D46" s="26">
        <f t="shared" si="0"/>
        <v>0</v>
      </c>
      <c r="E46" s="49">
        <f t="shared" si="1"/>
        <v>-134300</v>
      </c>
    </row>
    <row r="47" spans="1:5" ht="12.75">
      <c r="A47" s="145" t="s">
        <v>287</v>
      </c>
      <c r="B47" s="193">
        <f>B48+B49</f>
        <v>134300</v>
      </c>
      <c r="C47" s="193">
        <f>C48+C49</f>
        <v>0</v>
      </c>
      <c r="D47" s="26"/>
      <c r="E47" s="49"/>
    </row>
    <row r="48" spans="1:5" ht="25.5">
      <c r="A48" s="91" t="s">
        <v>288</v>
      </c>
      <c r="B48" s="193">
        <v>74300</v>
      </c>
      <c r="C48" s="193">
        <f>SUM(C49)</f>
        <v>0</v>
      </c>
      <c r="D48" s="26">
        <f t="shared" si="0"/>
        <v>0</v>
      </c>
      <c r="E48" s="49">
        <f t="shared" si="1"/>
        <v>-74300</v>
      </c>
    </row>
    <row r="49" spans="1:5" ht="25.5">
      <c r="A49" s="91" t="s">
        <v>289</v>
      </c>
      <c r="B49" s="25">
        <v>60000</v>
      </c>
      <c r="C49" s="25">
        <v>0</v>
      </c>
      <c r="D49" s="26">
        <f t="shared" si="0"/>
        <v>0</v>
      </c>
      <c r="E49" s="49">
        <f t="shared" si="1"/>
        <v>-60000</v>
      </c>
    </row>
    <row r="50" spans="1:5" ht="16.5" customHeight="1">
      <c r="A50" s="16" t="s">
        <v>16</v>
      </c>
      <c r="B50" s="193">
        <f>B51+B52+B54</f>
        <v>60000</v>
      </c>
      <c r="C50" s="193">
        <f>C51+C52+C54</f>
        <v>22148.78</v>
      </c>
      <c r="D50" s="26">
        <f t="shared" si="0"/>
        <v>36.91463333333333</v>
      </c>
      <c r="E50" s="49">
        <f t="shared" si="1"/>
        <v>-37851.22</v>
      </c>
    </row>
    <row r="51" spans="1:5" ht="12.75">
      <c r="A51" s="16" t="s">
        <v>17</v>
      </c>
      <c r="B51" s="25">
        <v>0</v>
      </c>
      <c r="C51" s="25">
        <v>0</v>
      </c>
      <c r="D51" s="26" t="str">
        <f t="shared" si="0"/>
        <v>   </v>
      </c>
      <c r="E51" s="49">
        <f t="shared" si="1"/>
        <v>0</v>
      </c>
    </row>
    <row r="52" spans="1:5" ht="12.75">
      <c r="A52" s="16" t="s">
        <v>262</v>
      </c>
      <c r="B52" s="25">
        <v>0</v>
      </c>
      <c r="C52" s="25">
        <v>0</v>
      </c>
      <c r="D52" s="26"/>
      <c r="E52" s="49"/>
    </row>
    <row r="53" spans="1:5" ht="12.75">
      <c r="A53" s="16" t="s">
        <v>268</v>
      </c>
      <c r="B53" s="25">
        <v>0</v>
      </c>
      <c r="C53" s="25">
        <v>0</v>
      </c>
      <c r="D53" s="26"/>
      <c r="E53" s="49"/>
    </row>
    <row r="54" spans="1:5" ht="12.75">
      <c r="A54" s="16" t="s">
        <v>84</v>
      </c>
      <c r="B54" s="25">
        <v>60000</v>
      </c>
      <c r="C54" s="25">
        <v>22148.78</v>
      </c>
      <c r="D54" s="26">
        <f t="shared" si="0"/>
        <v>36.91463333333333</v>
      </c>
      <c r="E54" s="49">
        <f t="shared" si="1"/>
        <v>-37851.22</v>
      </c>
    </row>
    <row r="55" spans="1:5" ht="12.75">
      <c r="A55" s="16" t="s">
        <v>83</v>
      </c>
      <c r="B55" s="25">
        <v>60000</v>
      </c>
      <c r="C55" s="27">
        <v>22148.78</v>
      </c>
      <c r="D55" s="26">
        <f t="shared" si="0"/>
        <v>36.91463333333333</v>
      </c>
      <c r="E55" s="49">
        <f t="shared" si="1"/>
        <v>-37851.22</v>
      </c>
    </row>
    <row r="56" spans="1:5" ht="12.75">
      <c r="A56" s="47" t="s">
        <v>272</v>
      </c>
      <c r="B56" s="25">
        <v>0</v>
      </c>
      <c r="C56" s="25">
        <v>0</v>
      </c>
      <c r="D56" s="26" t="str">
        <f t="shared" si="0"/>
        <v>   </v>
      </c>
      <c r="E56" s="49">
        <f t="shared" si="1"/>
        <v>0</v>
      </c>
    </row>
    <row r="57" spans="1:5" ht="12.75">
      <c r="A57" s="47" t="s">
        <v>155</v>
      </c>
      <c r="B57" s="25">
        <v>0</v>
      </c>
      <c r="C57" s="27">
        <v>0</v>
      </c>
      <c r="D57" s="26" t="str">
        <f t="shared" si="0"/>
        <v>   </v>
      </c>
      <c r="E57" s="49">
        <f t="shared" si="1"/>
        <v>0</v>
      </c>
    </row>
    <row r="58" spans="1:5" ht="12.75">
      <c r="A58" s="47" t="s">
        <v>202</v>
      </c>
      <c r="B58" s="25">
        <v>0</v>
      </c>
      <c r="C58" s="27">
        <v>0</v>
      </c>
      <c r="D58" s="26" t="str">
        <f t="shared" si="0"/>
        <v>   </v>
      </c>
      <c r="E58" s="49">
        <f t="shared" si="1"/>
        <v>0</v>
      </c>
    </row>
    <row r="59" spans="1:5" ht="18.75" customHeight="1">
      <c r="A59" s="18" t="s">
        <v>24</v>
      </c>
      <c r="B59" s="31">
        <v>15000</v>
      </c>
      <c r="C59" s="31">
        <v>0</v>
      </c>
      <c r="D59" s="26">
        <f t="shared" si="0"/>
        <v>0</v>
      </c>
      <c r="E59" s="49">
        <f t="shared" si="1"/>
        <v>-15000</v>
      </c>
    </row>
    <row r="60" spans="1:5" ht="17.25" customHeight="1">
      <c r="A60" s="16" t="s">
        <v>54</v>
      </c>
      <c r="B60" s="191">
        <f>B61</f>
        <v>750500</v>
      </c>
      <c r="C60" s="191">
        <f>C61</f>
        <v>114000</v>
      </c>
      <c r="D60" s="26">
        <f t="shared" si="0"/>
        <v>15.18987341772152</v>
      </c>
      <c r="E60" s="49">
        <f t="shared" si="1"/>
        <v>-636500</v>
      </c>
    </row>
    <row r="61" spans="1:5" ht="12.75">
      <c r="A61" s="16" t="s">
        <v>55</v>
      </c>
      <c r="B61" s="25">
        <v>750500</v>
      </c>
      <c r="C61" s="27">
        <v>114000</v>
      </c>
      <c r="D61" s="26">
        <f t="shared" si="0"/>
        <v>15.18987341772152</v>
      </c>
      <c r="E61" s="49">
        <f t="shared" si="1"/>
        <v>-636500</v>
      </c>
    </row>
    <row r="62" spans="1:5" ht="12.75">
      <c r="A62" s="118" t="s">
        <v>209</v>
      </c>
      <c r="B62" s="25">
        <v>0</v>
      </c>
      <c r="C62" s="27">
        <v>0</v>
      </c>
      <c r="D62" s="26" t="str">
        <f t="shared" si="0"/>
        <v>   </v>
      </c>
      <c r="E62" s="49">
        <f t="shared" si="1"/>
        <v>0</v>
      </c>
    </row>
    <row r="63" spans="1:5" ht="12.75">
      <c r="A63" s="16" t="s">
        <v>177</v>
      </c>
      <c r="B63" s="25">
        <v>6600</v>
      </c>
      <c r="C63" s="27">
        <v>0</v>
      </c>
      <c r="D63" s="26">
        <f t="shared" si="0"/>
        <v>0</v>
      </c>
      <c r="E63" s="49">
        <f t="shared" si="1"/>
        <v>-6600</v>
      </c>
    </row>
    <row r="64" spans="1:5" ht="12.75">
      <c r="A64" s="16" t="s">
        <v>215</v>
      </c>
      <c r="B64" s="193">
        <f>SUM(B65,)</f>
        <v>5000</v>
      </c>
      <c r="C64" s="193">
        <f>SUM(C65,)</f>
        <v>0</v>
      </c>
      <c r="D64" s="26">
        <f t="shared" si="0"/>
        <v>0</v>
      </c>
      <c r="E64" s="49">
        <f t="shared" si="1"/>
        <v>-5000</v>
      </c>
    </row>
    <row r="65" spans="1:5" ht="12.75">
      <c r="A65" s="16" t="s">
        <v>56</v>
      </c>
      <c r="B65" s="25">
        <v>5000</v>
      </c>
      <c r="C65" s="28">
        <v>0</v>
      </c>
      <c r="D65" s="26">
        <f t="shared" si="0"/>
        <v>0</v>
      </c>
      <c r="E65" s="49">
        <f t="shared" si="1"/>
        <v>-5000</v>
      </c>
    </row>
    <row r="66" spans="1:5" ht="18.75" customHeight="1">
      <c r="A66" s="16" t="s">
        <v>18</v>
      </c>
      <c r="B66" s="193">
        <f>B67</f>
        <v>375100</v>
      </c>
      <c r="C66" s="193">
        <f>C67</f>
        <v>0</v>
      </c>
      <c r="D66" s="26">
        <f t="shared" si="0"/>
        <v>0</v>
      </c>
      <c r="E66" s="49">
        <f t="shared" si="1"/>
        <v>-375100</v>
      </c>
    </row>
    <row r="67" spans="1:5" ht="18.75" customHeight="1">
      <c r="A67" s="16" t="s">
        <v>224</v>
      </c>
      <c r="B67" s="193">
        <f>SUM(B68,B73)</f>
        <v>375100</v>
      </c>
      <c r="C67" s="193">
        <f>SUM(C68,C73)</f>
        <v>0</v>
      </c>
      <c r="D67" s="26">
        <f t="shared" si="0"/>
        <v>0</v>
      </c>
      <c r="E67" s="49">
        <f t="shared" si="1"/>
        <v>-375100</v>
      </c>
    </row>
    <row r="68" spans="1:5" ht="18.75" customHeight="1">
      <c r="A68" s="119" t="s">
        <v>295</v>
      </c>
      <c r="B68" s="198">
        <f>SUM(B69)</f>
        <v>375100</v>
      </c>
      <c r="C68" s="198">
        <f>SUM(C69)</f>
        <v>0</v>
      </c>
      <c r="D68" s="26">
        <f t="shared" si="0"/>
        <v>0</v>
      </c>
      <c r="E68" s="49">
        <f t="shared" si="1"/>
        <v>-375100</v>
      </c>
    </row>
    <row r="69" spans="1:5" ht="27" customHeight="1">
      <c r="A69" s="16" t="s">
        <v>296</v>
      </c>
      <c r="B69" s="193">
        <f>SUM(B70:B72)</f>
        <v>375100</v>
      </c>
      <c r="C69" s="193">
        <f>SUM(C70:C72)</f>
        <v>0</v>
      </c>
      <c r="D69" s="26">
        <f t="shared" si="0"/>
        <v>0</v>
      </c>
      <c r="E69" s="49">
        <f t="shared" si="1"/>
        <v>-375100</v>
      </c>
    </row>
    <row r="70" spans="1:5" ht="15" customHeight="1">
      <c r="A70" s="47" t="s">
        <v>234</v>
      </c>
      <c r="B70" s="25">
        <v>0</v>
      </c>
      <c r="C70" s="25">
        <v>0</v>
      </c>
      <c r="D70" s="26" t="str">
        <f t="shared" si="0"/>
        <v>   </v>
      </c>
      <c r="E70" s="49">
        <f t="shared" si="1"/>
        <v>0</v>
      </c>
    </row>
    <row r="71" spans="1:5" ht="13.5" customHeight="1">
      <c r="A71" s="47" t="s">
        <v>235</v>
      </c>
      <c r="B71" s="25">
        <v>307100</v>
      </c>
      <c r="C71" s="25">
        <v>0</v>
      </c>
      <c r="D71" s="26">
        <f>IF(B71=0,"   ",C71/B71*100)</f>
        <v>0</v>
      </c>
      <c r="E71" s="49">
        <f t="shared" si="1"/>
        <v>-307100</v>
      </c>
    </row>
    <row r="72" spans="1:5" ht="12.75" customHeight="1">
      <c r="A72" s="47" t="s">
        <v>236</v>
      </c>
      <c r="B72" s="25">
        <v>68000</v>
      </c>
      <c r="C72" s="25">
        <v>0</v>
      </c>
      <c r="D72" s="26">
        <f>IF(B72=0,"   ",C72/B72*100)</f>
        <v>0</v>
      </c>
      <c r="E72" s="49">
        <f t="shared" si="1"/>
        <v>-68000</v>
      </c>
    </row>
    <row r="73" spans="1:5" ht="42.75" customHeight="1">
      <c r="A73" s="119" t="s">
        <v>229</v>
      </c>
      <c r="B73" s="120">
        <v>0</v>
      </c>
      <c r="C73" s="120">
        <v>0</v>
      </c>
      <c r="D73" s="26" t="str">
        <f>IF(B73=0,"   ",C73/B73*100)</f>
        <v>   </v>
      </c>
      <c r="E73" s="49">
        <f t="shared" si="1"/>
        <v>0</v>
      </c>
    </row>
    <row r="74" spans="1:5" ht="21" customHeight="1">
      <c r="A74" s="164" t="s">
        <v>19</v>
      </c>
      <c r="B74" s="168">
        <f>SUM(B37,B42,B44,B46,B50,B59,B60,B64,B66,)</f>
        <v>2146200</v>
      </c>
      <c r="C74" s="168">
        <f>SUM(C37,C42,C44,C46,C50,C59,C60,C64,C66,)</f>
        <v>195740.97</v>
      </c>
      <c r="D74" s="166">
        <f>IF(B74=0,"   ",C74/B74*100)</f>
        <v>9.120350852669835</v>
      </c>
      <c r="E74" s="167">
        <f t="shared" si="1"/>
        <v>-1950459.03</v>
      </c>
    </row>
    <row r="75" spans="1:5" ht="18.75" customHeight="1" thickBot="1">
      <c r="A75" s="98" t="s">
        <v>211</v>
      </c>
      <c r="B75" s="212">
        <f>B39+B62</f>
        <v>476900</v>
      </c>
      <c r="C75" s="212">
        <f>C39+C62</f>
        <v>45608.47</v>
      </c>
      <c r="D75" s="99">
        <f>IF(B75=0,"   ",C75/B75*100)</f>
        <v>9.563529041727826</v>
      </c>
      <c r="E75" s="100">
        <f t="shared" si="1"/>
        <v>-431291.53</v>
      </c>
    </row>
    <row r="76" spans="1:5" s="76" customFormat="1" ht="23.25" customHeight="1">
      <c r="A76" s="110" t="s">
        <v>251</v>
      </c>
      <c r="B76" s="110"/>
      <c r="C76" s="250"/>
      <c r="D76" s="250"/>
      <c r="E76" s="250"/>
    </row>
    <row r="77" spans="1:5" s="76" customFormat="1" ht="12" customHeight="1">
      <c r="A77" s="110" t="s">
        <v>250</v>
      </c>
      <c r="B77" s="110"/>
      <c r="C77" s="111" t="s">
        <v>252</v>
      </c>
      <c r="D77" s="112"/>
      <c r="E77" s="113"/>
    </row>
    <row r="78" spans="1:5" ht="12.75">
      <c r="A78" s="7"/>
      <c r="B78" s="7"/>
      <c r="C78" s="6"/>
      <c r="D78" s="7"/>
      <c r="E78" s="2"/>
    </row>
    <row r="79" spans="1:5" ht="12.75">
      <c r="A79" s="7"/>
      <c r="B79" s="7"/>
      <c r="C79" s="6"/>
      <c r="D79" s="7"/>
      <c r="E79" s="2"/>
    </row>
    <row r="80" spans="1:5" ht="12.75">
      <c r="A80" s="7"/>
      <c r="B80" s="7"/>
      <c r="C80" s="6"/>
      <c r="D80" s="7"/>
      <c r="E80" s="2"/>
    </row>
    <row r="81" spans="1:5" ht="12.75">
      <c r="A81" s="7"/>
      <c r="B81" s="7"/>
      <c r="C81" s="6"/>
      <c r="D81" s="7"/>
      <c r="E81" s="2"/>
    </row>
  </sheetData>
  <mergeCells count="2">
    <mergeCell ref="A1:E1"/>
    <mergeCell ref="C76:E76"/>
  </mergeCells>
  <printOptions/>
  <pageMargins left="0.7874015748031497" right="0.7874015748031497" top="0.5905511811023623" bottom="0.5118110236220472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B34" sqref="B34"/>
    </sheetView>
  </sheetViews>
  <sheetFormatPr defaultColWidth="9.00390625" defaultRowHeight="12.75"/>
  <cols>
    <col min="1" max="1" width="77.375" style="0" customWidth="1"/>
    <col min="2" max="2" width="18.375" style="0" customWidth="1"/>
    <col min="3" max="3" width="20.25390625" style="0" customWidth="1"/>
    <col min="4" max="4" width="18.375" style="0" customWidth="1"/>
    <col min="5" max="5" width="20.125" style="0" customWidth="1"/>
  </cols>
  <sheetData>
    <row r="1" spans="1:5" ht="18">
      <c r="A1" s="252" t="s">
        <v>312</v>
      </c>
      <c r="B1" s="252"/>
      <c r="C1" s="252"/>
      <c r="D1" s="252"/>
      <c r="E1" s="252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5" t="s">
        <v>1</v>
      </c>
      <c r="B4" s="19" t="s">
        <v>284</v>
      </c>
      <c r="C4" s="32" t="s">
        <v>305</v>
      </c>
      <c r="D4" s="19" t="s">
        <v>276</v>
      </c>
      <c r="E4" s="101" t="s">
        <v>297</v>
      </c>
    </row>
    <row r="5" spans="1:5" ht="12.75">
      <c r="A5" s="13">
        <v>1</v>
      </c>
      <c r="B5" s="97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58</v>
      </c>
      <c r="B7" s="191">
        <f>SUM(B8)</f>
        <v>6713400</v>
      </c>
      <c r="C7" s="191">
        <f>SUM(C8)</f>
        <v>703879.2</v>
      </c>
      <c r="D7" s="26">
        <f aca="true" t="shared" si="0" ref="D7:D72">IF(B7=0,"   ",C7/B7*100)</f>
        <v>10.484690320850836</v>
      </c>
      <c r="E7" s="49">
        <f aca="true" t="shared" si="1" ref="E7:E96">C7-B7</f>
        <v>-6009520.8</v>
      </c>
    </row>
    <row r="8" spans="1:5" ht="12.75">
      <c r="A8" s="16" t="s">
        <v>57</v>
      </c>
      <c r="B8" s="25">
        <v>6713400</v>
      </c>
      <c r="C8" s="27">
        <v>703879.2</v>
      </c>
      <c r="D8" s="26">
        <f t="shared" si="0"/>
        <v>10.484690320850836</v>
      </c>
      <c r="E8" s="49">
        <f t="shared" si="1"/>
        <v>-6009520.8</v>
      </c>
    </row>
    <row r="9" spans="1:5" ht="12.75">
      <c r="A9" s="16" t="s">
        <v>7</v>
      </c>
      <c r="B9" s="193">
        <f>SUM(B10:B10)</f>
        <v>12200</v>
      </c>
      <c r="C9" s="191">
        <f>SUM(C10)</f>
        <v>0</v>
      </c>
      <c r="D9" s="26">
        <f t="shared" si="0"/>
        <v>0</v>
      </c>
      <c r="E9" s="49">
        <f t="shared" si="1"/>
        <v>-12200</v>
      </c>
    </row>
    <row r="10" spans="1:5" ht="12.75">
      <c r="A10" s="16" t="s">
        <v>38</v>
      </c>
      <c r="B10" s="25">
        <v>12200</v>
      </c>
      <c r="C10" s="27">
        <v>0</v>
      </c>
      <c r="D10" s="26">
        <f t="shared" si="0"/>
        <v>0</v>
      </c>
      <c r="E10" s="49">
        <f t="shared" si="1"/>
        <v>-12200</v>
      </c>
    </row>
    <row r="11" spans="1:5" ht="12.75">
      <c r="A11" s="16" t="s">
        <v>9</v>
      </c>
      <c r="B11" s="193">
        <f>SUM(B12:B13)</f>
        <v>3548100</v>
      </c>
      <c r="C11" s="193">
        <f>SUM(C12:C13)</f>
        <v>407282.41000000003</v>
      </c>
      <c r="D11" s="26">
        <f t="shared" si="0"/>
        <v>11.478887573630958</v>
      </c>
      <c r="E11" s="49">
        <f t="shared" si="1"/>
        <v>-3140817.59</v>
      </c>
    </row>
    <row r="12" spans="1:5" ht="12.75">
      <c r="A12" s="16" t="s">
        <v>39</v>
      </c>
      <c r="B12" s="25">
        <v>417000</v>
      </c>
      <c r="C12" s="27">
        <v>8948.33</v>
      </c>
      <c r="D12" s="26">
        <f t="shared" si="0"/>
        <v>2.145882494004796</v>
      </c>
      <c r="E12" s="49">
        <f t="shared" si="1"/>
        <v>-408051.67</v>
      </c>
    </row>
    <row r="13" spans="1:5" ht="12.75">
      <c r="A13" s="16" t="s">
        <v>10</v>
      </c>
      <c r="B13" s="25">
        <v>3131100</v>
      </c>
      <c r="C13" s="27">
        <v>398334.08</v>
      </c>
      <c r="D13" s="26">
        <f t="shared" si="0"/>
        <v>12.72185749417138</v>
      </c>
      <c r="E13" s="49">
        <f t="shared" si="1"/>
        <v>-2732765.92</v>
      </c>
    </row>
    <row r="14" spans="1:5" ht="25.5">
      <c r="A14" s="16" t="s">
        <v>127</v>
      </c>
      <c r="B14" s="25">
        <v>0</v>
      </c>
      <c r="C14" s="27">
        <v>0</v>
      </c>
      <c r="D14" s="26" t="str">
        <f t="shared" si="0"/>
        <v>   </v>
      </c>
      <c r="E14" s="49">
        <f t="shared" si="1"/>
        <v>0</v>
      </c>
    </row>
    <row r="15" spans="1:5" ht="27" customHeight="1">
      <c r="A15" s="16" t="s">
        <v>40</v>
      </c>
      <c r="B15" s="193">
        <f>SUM(B16:B17)</f>
        <v>706100</v>
      </c>
      <c r="C15" s="193">
        <f>SUM(C16:C17)</f>
        <v>51865.53999999999</v>
      </c>
      <c r="D15" s="26">
        <f t="shared" si="0"/>
        <v>7.345353349383939</v>
      </c>
      <c r="E15" s="49">
        <f t="shared" si="1"/>
        <v>-654234.46</v>
      </c>
    </row>
    <row r="16" spans="1:5" ht="12.75">
      <c r="A16" s="119" t="s">
        <v>41</v>
      </c>
      <c r="B16" s="25">
        <v>402600</v>
      </c>
      <c r="C16" s="27">
        <v>24037.37</v>
      </c>
      <c r="D16" s="26">
        <f t="shared" si="0"/>
        <v>5.970534028812717</v>
      </c>
      <c r="E16" s="49">
        <f t="shared" si="1"/>
        <v>-378562.63</v>
      </c>
    </row>
    <row r="17" spans="1:5" ht="24" customHeight="1">
      <c r="A17" s="16" t="s">
        <v>42</v>
      </c>
      <c r="B17" s="25">
        <v>303500</v>
      </c>
      <c r="C17" s="27">
        <v>27828.17</v>
      </c>
      <c r="D17" s="26">
        <f t="shared" si="0"/>
        <v>9.169084019769356</v>
      </c>
      <c r="E17" s="49">
        <f t="shared" si="1"/>
        <v>-275671.83</v>
      </c>
    </row>
    <row r="18" spans="1:5" ht="15.75" customHeight="1">
      <c r="A18" s="16" t="s">
        <v>101</v>
      </c>
      <c r="B18" s="193">
        <v>0</v>
      </c>
      <c r="C18" s="193">
        <f>SUM(C19)</f>
        <v>184799.97</v>
      </c>
      <c r="D18" s="26" t="str">
        <f t="shared" si="0"/>
        <v>   </v>
      </c>
      <c r="E18" s="49">
        <f t="shared" si="1"/>
        <v>184799.97</v>
      </c>
    </row>
    <row r="19" spans="1:5" ht="25.5" customHeight="1">
      <c r="A19" s="16" t="s">
        <v>102</v>
      </c>
      <c r="B19" s="25">
        <v>0</v>
      </c>
      <c r="C19" s="27">
        <v>184799.97</v>
      </c>
      <c r="D19" s="26" t="str">
        <f t="shared" si="0"/>
        <v>   </v>
      </c>
      <c r="E19" s="49">
        <f t="shared" si="1"/>
        <v>184799.97</v>
      </c>
    </row>
    <row r="20" spans="1:5" ht="30" customHeight="1">
      <c r="A20" s="16" t="s">
        <v>113</v>
      </c>
      <c r="B20" s="193">
        <f>B21</f>
        <v>0</v>
      </c>
      <c r="C20" s="193">
        <f>C21</f>
        <v>0</v>
      </c>
      <c r="D20" s="26" t="str">
        <f t="shared" si="0"/>
        <v>   </v>
      </c>
      <c r="E20" s="49">
        <f t="shared" si="1"/>
        <v>0</v>
      </c>
    </row>
    <row r="21" spans="1:5" ht="30" customHeight="1">
      <c r="A21" s="16" t="s">
        <v>114</v>
      </c>
      <c r="B21" s="25">
        <v>0</v>
      </c>
      <c r="C21" s="27">
        <v>0</v>
      </c>
      <c r="D21" s="26" t="str">
        <f t="shared" si="0"/>
        <v>   </v>
      </c>
      <c r="E21" s="49">
        <f t="shared" si="1"/>
        <v>0</v>
      </c>
    </row>
    <row r="22" spans="1:5" ht="12.75">
      <c r="A22" s="16" t="s">
        <v>44</v>
      </c>
      <c r="B22" s="193">
        <f>B23+B24</f>
        <v>0</v>
      </c>
      <c r="C22" s="193">
        <f>C23+C24</f>
        <v>13359.48</v>
      </c>
      <c r="D22" s="26" t="str">
        <f t="shared" si="0"/>
        <v>   </v>
      </c>
      <c r="E22" s="49">
        <f t="shared" si="1"/>
        <v>13359.48</v>
      </c>
    </row>
    <row r="23" spans="1:5" ht="13.5" customHeight="1">
      <c r="A23" s="16" t="s">
        <v>59</v>
      </c>
      <c r="B23" s="25">
        <v>0</v>
      </c>
      <c r="C23" s="25">
        <v>13359.48</v>
      </c>
      <c r="D23" s="26" t="str">
        <f t="shared" si="0"/>
        <v>   </v>
      </c>
      <c r="E23" s="49">
        <f t="shared" si="1"/>
        <v>13359.48</v>
      </c>
    </row>
    <row r="24" spans="1:5" ht="15.75" customHeight="1">
      <c r="A24" s="16" t="s">
        <v>182</v>
      </c>
      <c r="B24" s="25">
        <v>0</v>
      </c>
      <c r="C24" s="27">
        <v>0</v>
      </c>
      <c r="D24" s="26" t="str">
        <f t="shared" si="0"/>
        <v>   </v>
      </c>
      <c r="E24" s="49">
        <f t="shared" si="1"/>
        <v>0</v>
      </c>
    </row>
    <row r="25" spans="1:5" ht="13.5" customHeight="1">
      <c r="A25" s="16" t="s">
        <v>43</v>
      </c>
      <c r="B25" s="25">
        <v>0</v>
      </c>
      <c r="C25" s="25">
        <v>0</v>
      </c>
      <c r="D25" s="26" t="str">
        <f t="shared" si="0"/>
        <v>   </v>
      </c>
      <c r="E25" s="49">
        <f t="shared" si="1"/>
        <v>0</v>
      </c>
    </row>
    <row r="26" spans="1:5" ht="15" customHeight="1">
      <c r="A26" s="164" t="s">
        <v>11</v>
      </c>
      <c r="B26" s="165">
        <f>SUM(B7,B9,B11,B15,B18,B20,B22,+B25+B19)</f>
        <v>10979800</v>
      </c>
      <c r="C26" s="165">
        <f>SUM(C7,C9,C11,C14,C15,C18,C20,C22,C25,)</f>
        <v>1361186.5999999999</v>
      </c>
      <c r="D26" s="166">
        <f t="shared" si="0"/>
        <v>12.397189384141786</v>
      </c>
      <c r="E26" s="167">
        <f t="shared" si="1"/>
        <v>-9618613.4</v>
      </c>
    </row>
    <row r="27" spans="1:5" ht="15" customHeight="1">
      <c r="A27" s="17" t="s">
        <v>46</v>
      </c>
      <c r="B27" s="24">
        <v>5364600</v>
      </c>
      <c r="C27" s="24">
        <v>937300</v>
      </c>
      <c r="D27" s="26">
        <f t="shared" si="0"/>
        <v>17.471945718226895</v>
      </c>
      <c r="E27" s="49">
        <f t="shared" si="1"/>
        <v>-4427300</v>
      </c>
    </row>
    <row r="28" spans="1:5" ht="26.25" customHeight="1">
      <c r="A28" s="16" t="s">
        <v>63</v>
      </c>
      <c r="B28" s="25">
        <v>0</v>
      </c>
      <c r="C28" s="27">
        <v>0</v>
      </c>
      <c r="D28" s="26" t="str">
        <f t="shared" si="0"/>
        <v>   </v>
      </c>
      <c r="E28" s="49">
        <f t="shared" si="1"/>
        <v>0</v>
      </c>
    </row>
    <row r="29" spans="1:5" ht="39" customHeight="1">
      <c r="A29" s="200" t="s">
        <v>67</v>
      </c>
      <c r="B29" s="201">
        <v>251400</v>
      </c>
      <c r="C29" s="205">
        <v>41800</v>
      </c>
      <c r="D29" s="202">
        <f t="shared" si="0"/>
        <v>16.626889419252187</v>
      </c>
      <c r="E29" s="203">
        <f t="shared" si="1"/>
        <v>-209600</v>
      </c>
    </row>
    <row r="30" spans="1:5" ht="53.25" customHeight="1">
      <c r="A30" s="16" t="s">
        <v>221</v>
      </c>
      <c r="B30" s="25">
        <v>0</v>
      </c>
      <c r="C30" s="25">
        <v>0</v>
      </c>
      <c r="D30" s="26" t="str">
        <f t="shared" si="0"/>
        <v>   </v>
      </c>
      <c r="E30" s="49">
        <f t="shared" si="1"/>
        <v>0</v>
      </c>
    </row>
    <row r="31" spans="1:5" ht="25.5" customHeight="1">
      <c r="A31" s="16" t="s">
        <v>68</v>
      </c>
      <c r="B31" s="25">
        <v>600</v>
      </c>
      <c r="C31" s="25">
        <v>0</v>
      </c>
      <c r="D31" s="26">
        <f t="shared" si="0"/>
        <v>0</v>
      </c>
      <c r="E31" s="49">
        <f t="shared" si="1"/>
        <v>-600</v>
      </c>
    </row>
    <row r="32" spans="1:5" ht="27.75" customHeight="1">
      <c r="A32" s="16" t="s">
        <v>134</v>
      </c>
      <c r="B32" s="193">
        <f>SUM(B33,B36)</f>
        <v>6600</v>
      </c>
      <c r="C32" s="193">
        <f>SUM(C33,C36)</f>
        <v>0</v>
      </c>
      <c r="D32" s="26">
        <f t="shared" si="0"/>
        <v>0</v>
      </c>
      <c r="E32" s="49">
        <f t="shared" si="1"/>
        <v>-6600</v>
      </c>
    </row>
    <row r="33" spans="1:5" ht="42" customHeight="1">
      <c r="A33" s="16" t="s">
        <v>210</v>
      </c>
      <c r="B33" s="25">
        <v>0</v>
      </c>
      <c r="C33" s="27">
        <v>0</v>
      </c>
      <c r="D33" s="26"/>
      <c r="E33" s="49"/>
    </row>
    <row r="34" spans="1:5" ht="30" customHeight="1">
      <c r="A34" s="16" t="s">
        <v>74</v>
      </c>
      <c r="B34" s="25">
        <v>819000</v>
      </c>
      <c r="C34" s="27">
        <v>0</v>
      </c>
      <c r="D34" s="26">
        <f t="shared" si="0"/>
        <v>0</v>
      </c>
      <c r="E34" s="49">
        <f t="shared" si="1"/>
        <v>-819000</v>
      </c>
    </row>
    <row r="35" spans="1:5" ht="30" customHeight="1">
      <c r="A35" s="16" t="s">
        <v>263</v>
      </c>
      <c r="B35" s="25">
        <v>0</v>
      </c>
      <c r="C35" s="27">
        <v>0</v>
      </c>
      <c r="D35" s="26"/>
      <c r="E35" s="49"/>
    </row>
    <row r="36" spans="1:5" ht="39" customHeight="1">
      <c r="A36" s="200" t="s">
        <v>149</v>
      </c>
      <c r="B36" s="201">
        <v>6600</v>
      </c>
      <c r="C36" s="201">
        <v>0</v>
      </c>
      <c r="D36" s="202">
        <f t="shared" si="0"/>
        <v>0</v>
      </c>
      <c r="E36" s="203">
        <f t="shared" si="1"/>
        <v>-6600</v>
      </c>
    </row>
    <row r="37" spans="1:5" ht="18.75" customHeight="1">
      <c r="A37" s="16" t="s">
        <v>72</v>
      </c>
      <c r="B37" s="25">
        <v>963300</v>
      </c>
      <c r="C37" s="27">
        <v>0</v>
      </c>
      <c r="D37" s="26">
        <f t="shared" si="0"/>
        <v>0</v>
      </c>
      <c r="E37" s="49">
        <f t="shared" si="1"/>
        <v>-963300</v>
      </c>
    </row>
    <row r="38" spans="1:5" ht="24" customHeight="1">
      <c r="A38" s="164" t="s">
        <v>14</v>
      </c>
      <c r="B38" s="168">
        <f>B26+B27+B32+B30+B34+B35+B29+B31+B37</f>
        <v>18385300</v>
      </c>
      <c r="C38" s="168">
        <f>C26+C27+C29+C31+C32+C30+C34+C35+C37</f>
        <v>2340286.5999999996</v>
      </c>
      <c r="D38" s="166">
        <f t="shared" si="0"/>
        <v>12.72911837174264</v>
      </c>
      <c r="E38" s="167">
        <f t="shared" si="1"/>
        <v>-16045013.4</v>
      </c>
    </row>
    <row r="39" spans="1:5" ht="16.5" customHeight="1">
      <c r="A39" s="30" t="s">
        <v>64</v>
      </c>
      <c r="B39" s="24"/>
      <c r="C39" s="25"/>
      <c r="D39" s="26" t="str">
        <f t="shared" si="0"/>
        <v>   </v>
      </c>
      <c r="E39" s="49"/>
    </row>
    <row r="40" spans="1:5" ht="12.75">
      <c r="A40" s="22" t="s">
        <v>15</v>
      </c>
      <c r="B40" s="51"/>
      <c r="C40" s="52"/>
      <c r="D40" s="26" t="str">
        <f t="shared" si="0"/>
        <v>   </v>
      </c>
      <c r="E40" s="49"/>
    </row>
    <row r="41" spans="1:5" ht="12.75">
      <c r="A41" s="16" t="s">
        <v>48</v>
      </c>
      <c r="B41" s="25">
        <v>2395900</v>
      </c>
      <c r="C41" s="25">
        <v>200840.53</v>
      </c>
      <c r="D41" s="26">
        <f t="shared" si="0"/>
        <v>8.38267582119454</v>
      </c>
      <c r="E41" s="49">
        <f t="shared" si="1"/>
        <v>-2195059.47</v>
      </c>
    </row>
    <row r="42" spans="1:5" ht="16.5" customHeight="1">
      <c r="A42" s="16" t="s">
        <v>49</v>
      </c>
      <c r="B42" s="25">
        <v>1880900</v>
      </c>
      <c r="C42" s="27">
        <v>181433.15</v>
      </c>
      <c r="D42" s="26">
        <f t="shared" si="0"/>
        <v>9.646081663033653</v>
      </c>
      <c r="E42" s="49">
        <f t="shared" si="1"/>
        <v>-1699466.85</v>
      </c>
    </row>
    <row r="43" spans="1:5" ht="12.75">
      <c r="A43" s="118" t="s">
        <v>208</v>
      </c>
      <c r="B43" s="25">
        <v>1236978</v>
      </c>
      <c r="C43" s="127">
        <v>119443.14</v>
      </c>
      <c r="D43" s="26">
        <f t="shared" si="0"/>
        <v>9.65604400401624</v>
      </c>
      <c r="E43" s="49">
        <f t="shared" si="1"/>
        <v>-1117534.86</v>
      </c>
    </row>
    <row r="44" spans="1:5" ht="12.75">
      <c r="A44" s="16" t="s">
        <v>181</v>
      </c>
      <c r="B44" s="25">
        <v>600</v>
      </c>
      <c r="C44" s="28">
        <v>0</v>
      </c>
      <c r="D44" s="26">
        <f t="shared" si="0"/>
        <v>0</v>
      </c>
      <c r="E44" s="49">
        <f t="shared" si="1"/>
        <v>-600</v>
      </c>
    </row>
    <row r="45" spans="1:5" ht="12.75">
      <c r="A45" s="16" t="s">
        <v>264</v>
      </c>
      <c r="B45" s="25">
        <v>0</v>
      </c>
      <c r="C45" s="28">
        <v>0</v>
      </c>
      <c r="D45" s="26" t="str">
        <f t="shared" si="0"/>
        <v>   </v>
      </c>
      <c r="E45" s="49">
        <f t="shared" si="1"/>
        <v>0</v>
      </c>
    </row>
    <row r="46" spans="1:5" ht="12.75">
      <c r="A46" s="16" t="s">
        <v>141</v>
      </c>
      <c r="B46" s="25">
        <v>0</v>
      </c>
      <c r="C46" s="28">
        <v>0</v>
      </c>
      <c r="D46" s="26" t="str">
        <f t="shared" si="0"/>
        <v>   </v>
      </c>
      <c r="E46" s="49">
        <f t="shared" si="1"/>
        <v>0</v>
      </c>
    </row>
    <row r="47" spans="1:5" ht="12.75">
      <c r="A47" s="16" t="s">
        <v>69</v>
      </c>
      <c r="B47" s="193">
        <f>SUM(B48,B49)</f>
        <v>515000</v>
      </c>
      <c r="C47" s="193">
        <f>SUM(C48,C49)</f>
        <v>19407.38</v>
      </c>
      <c r="D47" s="26">
        <f t="shared" si="0"/>
        <v>3.768423300970874</v>
      </c>
      <c r="E47" s="49">
        <f t="shared" si="1"/>
        <v>-495592.62</v>
      </c>
    </row>
    <row r="48" spans="1:5" ht="25.5">
      <c r="A48" s="16" t="s">
        <v>85</v>
      </c>
      <c r="B48" s="25">
        <v>115000</v>
      </c>
      <c r="C48" s="25">
        <v>19407.38</v>
      </c>
      <c r="D48" s="26">
        <f t="shared" si="0"/>
        <v>16.875982608695654</v>
      </c>
      <c r="E48" s="49">
        <f t="shared" si="1"/>
        <v>-95592.62</v>
      </c>
    </row>
    <row r="49" spans="1:5" ht="12.75">
      <c r="A49" s="16" t="s">
        <v>298</v>
      </c>
      <c r="B49" s="25">
        <v>400000</v>
      </c>
      <c r="C49" s="25">
        <v>0</v>
      </c>
      <c r="D49" s="26">
        <f t="shared" si="0"/>
        <v>0</v>
      </c>
      <c r="E49" s="49">
        <f t="shared" si="1"/>
        <v>-400000</v>
      </c>
    </row>
    <row r="50" spans="1:5" ht="12.75">
      <c r="A50" s="16" t="s">
        <v>65</v>
      </c>
      <c r="B50" s="194">
        <f>SUM(B51)</f>
        <v>251400</v>
      </c>
      <c r="C50" s="194">
        <f>SUM(C51)</f>
        <v>21232.49</v>
      </c>
      <c r="D50" s="26">
        <f t="shared" si="0"/>
        <v>8.445700079554495</v>
      </c>
      <c r="E50" s="49">
        <f t="shared" si="1"/>
        <v>-230167.51</v>
      </c>
    </row>
    <row r="51" spans="1:5" ht="27" customHeight="1">
      <c r="A51" s="16" t="s">
        <v>176</v>
      </c>
      <c r="B51" s="25">
        <v>251400</v>
      </c>
      <c r="C51" s="27">
        <v>21232.49</v>
      </c>
      <c r="D51" s="26">
        <f t="shared" si="0"/>
        <v>8.445700079554495</v>
      </c>
      <c r="E51" s="49">
        <f t="shared" si="1"/>
        <v>-230167.51</v>
      </c>
    </row>
    <row r="52" spans="1:5" ht="18.75" customHeight="1">
      <c r="A52" s="16" t="s">
        <v>50</v>
      </c>
      <c r="B52" s="116">
        <v>243000</v>
      </c>
      <c r="C52" s="25">
        <v>15494.84</v>
      </c>
      <c r="D52" s="26">
        <f t="shared" si="0"/>
        <v>6.376477366255144</v>
      </c>
      <c r="E52" s="49">
        <f t="shared" si="1"/>
        <v>-227505.16</v>
      </c>
    </row>
    <row r="53" spans="1:5" ht="27" customHeight="1">
      <c r="A53" s="16" t="s">
        <v>124</v>
      </c>
      <c r="B53" s="116">
        <v>1800000</v>
      </c>
      <c r="C53" s="25">
        <v>15494.84</v>
      </c>
      <c r="D53" s="26">
        <f t="shared" si="0"/>
        <v>0.8608244444444444</v>
      </c>
      <c r="E53" s="49">
        <f t="shared" si="1"/>
        <v>-1784505.16</v>
      </c>
    </row>
    <row r="54" spans="1:5" ht="16.5" customHeight="1">
      <c r="A54" s="16" t="s">
        <v>142</v>
      </c>
      <c r="B54" s="116">
        <v>180000</v>
      </c>
      <c r="C54" s="25">
        <v>15494.84</v>
      </c>
      <c r="D54" s="58">
        <f t="shared" si="0"/>
        <v>8.608244444444445</v>
      </c>
      <c r="E54" s="59">
        <f t="shared" si="1"/>
        <v>-164505.16</v>
      </c>
    </row>
    <row r="55" spans="1:5" ht="14.25" customHeight="1">
      <c r="A55" s="16" t="s">
        <v>208</v>
      </c>
      <c r="B55" s="116">
        <v>129926</v>
      </c>
      <c r="C55" s="27">
        <v>11132.72</v>
      </c>
      <c r="D55" s="26">
        <f t="shared" si="0"/>
        <v>8.568508227760416</v>
      </c>
      <c r="E55" s="49">
        <f t="shared" si="1"/>
        <v>-118793.28</v>
      </c>
    </row>
    <row r="56" spans="1:5" ht="17.25" customHeight="1">
      <c r="A56" s="16" t="s">
        <v>243</v>
      </c>
      <c r="B56" s="116">
        <v>63000</v>
      </c>
      <c r="C56" s="60">
        <v>0</v>
      </c>
      <c r="D56" s="58">
        <f t="shared" si="0"/>
        <v>0</v>
      </c>
      <c r="E56" s="59">
        <f t="shared" si="1"/>
        <v>-63000</v>
      </c>
    </row>
    <row r="57" spans="1:5" ht="12.75">
      <c r="A57" s="16" t="s">
        <v>51</v>
      </c>
      <c r="B57" s="25">
        <f>B58</f>
        <v>1963300</v>
      </c>
      <c r="C57" s="25">
        <f>C58</f>
        <v>70671</v>
      </c>
      <c r="D57" s="26">
        <f t="shared" si="0"/>
        <v>3.599602709723425</v>
      </c>
      <c r="E57" s="49">
        <f t="shared" si="1"/>
        <v>-1892629</v>
      </c>
    </row>
    <row r="58" spans="1:5" ht="12.75">
      <c r="A58" s="145" t="s">
        <v>287</v>
      </c>
      <c r="B58" s="25">
        <f>B59+B60</f>
        <v>1963300</v>
      </c>
      <c r="C58" s="25">
        <f>C59+C60</f>
        <v>70671</v>
      </c>
      <c r="D58" s="26">
        <f t="shared" si="0"/>
        <v>3.599602709723425</v>
      </c>
      <c r="E58" s="49">
        <f t="shared" si="1"/>
        <v>-1892629</v>
      </c>
    </row>
    <row r="59" spans="1:5" ht="25.5">
      <c r="A59" s="91" t="s">
        <v>288</v>
      </c>
      <c r="B59" s="25">
        <v>963300</v>
      </c>
      <c r="C59" s="25">
        <v>0</v>
      </c>
      <c r="D59" s="26"/>
      <c r="E59" s="49"/>
    </row>
    <row r="60" spans="1:5" ht="14.25" customHeight="1">
      <c r="A60" s="91" t="s">
        <v>289</v>
      </c>
      <c r="B60" s="25">
        <v>1000000</v>
      </c>
      <c r="C60" s="25">
        <v>70671</v>
      </c>
      <c r="D60" s="26">
        <f t="shared" si="0"/>
        <v>7.0671</v>
      </c>
      <c r="E60" s="49">
        <f t="shared" si="1"/>
        <v>-929329</v>
      </c>
    </row>
    <row r="61" spans="1:5" ht="14.25" customHeight="1">
      <c r="A61" s="16" t="s">
        <v>16</v>
      </c>
      <c r="B61" s="193">
        <f>SUM(B62,B66,B71)</f>
        <v>5549300</v>
      </c>
      <c r="C61" s="193">
        <f>SUM(C62,C66,C71)</f>
        <v>586158.3300000001</v>
      </c>
      <c r="D61" s="26">
        <f t="shared" si="0"/>
        <v>10.562743589281533</v>
      </c>
      <c r="E61" s="49">
        <f t="shared" si="1"/>
        <v>-4963141.67</v>
      </c>
    </row>
    <row r="62" spans="1:5" ht="12.75">
      <c r="A62" s="119" t="s">
        <v>17</v>
      </c>
      <c r="B62" s="198">
        <f>SUM(B63:B65)</f>
        <v>554400</v>
      </c>
      <c r="C62" s="198">
        <f>SUM(C63:C65)</f>
        <v>39382.48</v>
      </c>
      <c r="D62" s="26">
        <f t="shared" si="0"/>
        <v>7.103621933621934</v>
      </c>
      <c r="E62" s="49">
        <f t="shared" si="1"/>
        <v>-515017.52</v>
      </c>
    </row>
    <row r="63" spans="1:5" ht="12.75">
      <c r="A63" s="16" t="s">
        <v>147</v>
      </c>
      <c r="B63" s="25">
        <v>554400</v>
      </c>
      <c r="C63" s="27">
        <v>39382.48</v>
      </c>
      <c r="D63" s="26">
        <f t="shared" si="0"/>
        <v>7.103621933621934</v>
      </c>
      <c r="E63" s="49">
        <f t="shared" si="1"/>
        <v>-515017.52</v>
      </c>
    </row>
    <row r="64" spans="1:5" ht="25.5">
      <c r="A64" s="16" t="s">
        <v>244</v>
      </c>
      <c r="B64" s="25">
        <v>0</v>
      </c>
      <c r="C64" s="27">
        <v>0</v>
      </c>
      <c r="D64" s="26" t="str">
        <f t="shared" si="0"/>
        <v>   </v>
      </c>
      <c r="E64" s="49">
        <f t="shared" si="1"/>
        <v>0</v>
      </c>
    </row>
    <row r="65" spans="1:5" ht="12.75">
      <c r="A65" s="16" t="s">
        <v>137</v>
      </c>
      <c r="B65" s="25">
        <v>0</v>
      </c>
      <c r="C65" s="27">
        <v>0</v>
      </c>
      <c r="D65" s="26" t="str">
        <f t="shared" si="0"/>
        <v>   </v>
      </c>
      <c r="E65" s="49">
        <f t="shared" si="1"/>
        <v>0</v>
      </c>
    </row>
    <row r="66" spans="1:5" ht="12.75">
      <c r="A66" s="119" t="s">
        <v>86</v>
      </c>
      <c r="B66" s="198">
        <f>SUM(B67,B69,B70,)</f>
        <v>840000</v>
      </c>
      <c r="C66" s="198">
        <f>SUM(C67,C69,C70,)</f>
        <v>164170</v>
      </c>
      <c r="D66" s="26">
        <f t="shared" si="0"/>
        <v>19.544047619047618</v>
      </c>
      <c r="E66" s="49">
        <f t="shared" si="1"/>
        <v>-675830</v>
      </c>
    </row>
    <row r="67" spans="1:5" ht="12.75">
      <c r="A67" s="118" t="s">
        <v>269</v>
      </c>
      <c r="B67" s="116">
        <v>840000</v>
      </c>
      <c r="C67" s="116">
        <v>164170</v>
      </c>
      <c r="D67" s="26">
        <f t="shared" si="0"/>
        <v>19.544047619047618</v>
      </c>
      <c r="E67" s="49">
        <f t="shared" si="1"/>
        <v>-675830</v>
      </c>
    </row>
    <row r="68" spans="1:5" ht="12.75">
      <c r="A68" s="200" t="s">
        <v>87</v>
      </c>
      <c r="B68" s="201">
        <v>420000</v>
      </c>
      <c r="C68" s="201">
        <v>70000</v>
      </c>
      <c r="D68" s="202">
        <f t="shared" si="0"/>
        <v>16.666666666666664</v>
      </c>
      <c r="E68" s="203">
        <f t="shared" si="1"/>
        <v>-350000</v>
      </c>
    </row>
    <row r="69" spans="1:5" ht="44.25" customHeight="1">
      <c r="A69" s="17" t="s">
        <v>212</v>
      </c>
      <c r="B69" s="25">
        <v>0</v>
      </c>
      <c r="C69" s="25">
        <v>0</v>
      </c>
      <c r="D69" s="26" t="str">
        <f t="shared" si="0"/>
        <v>   </v>
      </c>
      <c r="E69" s="49">
        <f t="shared" si="1"/>
        <v>0</v>
      </c>
    </row>
    <row r="70" spans="1:5" ht="47.25" customHeight="1">
      <c r="A70" s="17" t="s">
        <v>212</v>
      </c>
      <c r="B70" s="25">
        <v>0</v>
      </c>
      <c r="C70" s="25">
        <v>0</v>
      </c>
      <c r="D70" s="26" t="str">
        <f t="shared" si="0"/>
        <v>   </v>
      </c>
      <c r="E70" s="49">
        <f t="shared" si="1"/>
        <v>0</v>
      </c>
    </row>
    <row r="71" spans="1:5" ht="12.75">
      <c r="A71" s="158" t="s">
        <v>84</v>
      </c>
      <c r="B71" s="237">
        <f>B72+B73+B74+B75+B76</f>
        <v>4154900</v>
      </c>
      <c r="C71" s="237">
        <f>C72+C73+C74+C75+C76</f>
        <v>382605.85000000003</v>
      </c>
      <c r="D71" s="238">
        <f t="shared" si="0"/>
        <v>9.20854533201762</v>
      </c>
      <c r="E71" s="239">
        <f t="shared" si="1"/>
        <v>-3772294.15</v>
      </c>
    </row>
    <row r="72" spans="1:5" ht="12.75">
      <c r="A72" s="16" t="s">
        <v>88</v>
      </c>
      <c r="B72" s="25">
        <v>2360000</v>
      </c>
      <c r="C72" s="27">
        <v>285392.89</v>
      </c>
      <c r="D72" s="26">
        <f t="shared" si="0"/>
        <v>12.092919067796611</v>
      </c>
      <c r="E72" s="49">
        <f t="shared" si="1"/>
        <v>-2074607.1099999999</v>
      </c>
    </row>
    <row r="73" spans="1:5" ht="12.75">
      <c r="A73" s="16" t="s">
        <v>89</v>
      </c>
      <c r="B73" s="25">
        <v>300000</v>
      </c>
      <c r="C73" s="27">
        <v>0</v>
      </c>
      <c r="D73" s="26">
        <f aca="true" t="shared" si="2" ref="D73:D96">IF(B73=0,"   ",C73/B73*100)</f>
        <v>0</v>
      </c>
      <c r="E73" s="49">
        <f t="shared" si="1"/>
        <v>-300000</v>
      </c>
    </row>
    <row r="74" spans="1:5" ht="12.75">
      <c r="A74" s="16" t="s">
        <v>90</v>
      </c>
      <c r="B74" s="25">
        <v>100000</v>
      </c>
      <c r="C74" s="27">
        <v>0</v>
      </c>
      <c r="D74" s="26">
        <f t="shared" si="2"/>
        <v>0</v>
      </c>
      <c r="E74" s="49">
        <f t="shared" si="1"/>
        <v>-100000</v>
      </c>
    </row>
    <row r="75" spans="1:5" ht="12.75">
      <c r="A75" s="16" t="s">
        <v>91</v>
      </c>
      <c r="B75" s="25">
        <v>1394900</v>
      </c>
      <c r="C75" s="27">
        <v>97212.96</v>
      </c>
      <c r="D75" s="26">
        <f t="shared" si="2"/>
        <v>6.9691705498602055</v>
      </c>
      <c r="E75" s="49">
        <f t="shared" si="1"/>
        <v>-1297687.04</v>
      </c>
    </row>
    <row r="76" spans="1:5" ht="14.25" customHeight="1">
      <c r="A76" s="47" t="s">
        <v>139</v>
      </c>
      <c r="B76" s="25">
        <v>0</v>
      </c>
      <c r="C76" s="27">
        <v>0</v>
      </c>
      <c r="D76" s="26" t="str">
        <f t="shared" si="2"/>
        <v>   </v>
      </c>
      <c r="E76" s="49">
        <f t="shared" si="1"/>
        <v>0</v>
      </c>
    </row>
    <row r="77" spans="1:5" ht="15.75" customHeight="1">
      <c r="A77" s="18" t="s">
        <v>24</v>
      </c>
      <c r="B77" s="31">
        <v>20000</v>
      </c>
      <c r="C77" s="31">
        <v>0</v>
      </c>
      <c r="D77" s="26">
        <f t="shared" si="2"/>
        <v>0</v>
      </c>
      <c r="E77" s="49">
        <f t="shared" si="1"/>
        <v>-20000</v>
      </c>
    </row>
    <row r="78" spans="1:5" ht="12.75">
      <c r="A78" s="16" t="s">
        <v>54</v>
      </c>
      <c r="B78" s="191">
        <f>B79</f>
        <v>6011600</v>
      </c>
      <c r="C78" s="191">
        <f>C79</f>
        <v>991906.04</v>
      </c>
      <c r="D78" s="26">
        <f t="shared" si="2"/>
        <v>16.4998675893273</v>
      </c>
      <c r="E78" s="49">
        <f t="shared" si="1"/>
        <v>-5019693.96</v>
      </c>
    </row>
    <row r="79" spans="1:5" ht="12.75">
      <c r="A79" s="16" t="s">
        <v>55</v>
      </c>
      <c r="B79" s="25">
        <v>6011600</v>
      </c>
      <c r="C79" s="33">
        <v>991906.04</v>
      </c>
      <c r="D79" s="26">
        <f t="shared" si="2"/>
        <v>16.4998675893273</v>
      </c>
      <c r="E79" s="49">
        <f t="shared" si="1"/>
        <v>-5019693.96</v>
      </c>
    </row>
    <row r="80" spans="1:5" ht="15.75" customHeight="1">
      <c r="A80" s="118" t="s">
        <v>208</v>
      </c>
      <c r="B80" s="25">
        <v>0</v>
      </c>
      <c r="C80" s="27">
        <v>0</v>
      </c>
      <c r="D80" s="26" t="str">
        <f t="shared" si="2"/>
        <v>   </v>
      </c>
      <c r="E80" s="49">
        <f t="shared" si="1"/>
        <v>0</v>
      </c>
    </row>
    <row r="81" spans="1:5" ht="14.25" customHeight="1">
      <c r="A81" s="16" t="s">
        <v>177</v>
      </c>
      <c r="B81" s="25">
        <v>6600</v>
      </c>
      <c r="C81" s="27">
        <v>0</v>
      </c>
      <c r="D81" s="26">
        <f t="shared" si="2"/>
        <v>0</v>
      </c>
      <c r="E81" s="49">
        <f t="shared" si="1"/>
        <v>-6600</v>
      </c>
    </row>
    <row r="82" spans="1:5" ht="12.75">
      <c r="A82" s="16" t="s">
        <v>215</v>
      </c>
      <c r="B82" s="193">
        <f>SUM(B83,)</f>
        <v>150000</v>
      </c>
      <c r="C82" s="193">
        <f>SUM(C83,)</f>
        <v>14400</v>
      </c>
      <c r="D82" s="26">
        <f t="shared" si="2"/>
        <v>9.6</v>
      </c>
      <c r="E82" s="49">
        <f t="shared" si="1"/>
        <v>-135600</v>
      </c>
    </row>
    <row r="83" spans="1:5" ht="14.25" customHeight="1">
      <c r="A83" s="16" t="s">
        <v>56</v>
      </c>
      <c r="B83" s="25">
        <v>150000</v>
      </c>
      <c r="C83" s="28">
        <v>14400</v>
      </c>
      <c r="D83" s="26">
        <f t="shared" si="2"/>
        <v>9.6</v>
      </c>
      <c r="E83" s="49">
        <f t="shared" si="1"/>
        <v>-135600</v>
      </c>
    </row>
    <row r="84" spans="1:5" ht="15.75" customHeight="1">
      <c r="A84" s="16" t="s">
        <v>18</v>
      </c>
      <c r="B84" s="193">
        <f>B85</f>
        <v>1710800</v>
      </c>
      <c r="C84" s="193">
        <f>C85</f>
        <v>10000</v>
      </c>
      <c r="D84" s="26">
        <f t="shared" si="2"/>
        <v>0.5845218611176057</v>
      </c>
      <c r="E84" s="49">
        <f t="shared" si="1"/>
        <v>-1700800</v>
      </c>
    </row>
    <row r="85" spans="1:5" ht="15.75" customHeight="1">
      <c r="A85" s="16" t="s">
        <v>224</v>
      </c>
      <c r="B85" s="193">
        <f>SUM(B86,B87,B88)</f>
        <v>1710800</v>
      </c>
      <c r="C85" s="193">
        <f>SUM(C86,C87,C88)</f>
        <v>10000</v>
      </c>
      <c r="D85" s="26"/>
      <c r="E85" s="49"/>
    </row>
    <row r="86" spans="1:5" ht="12.75">
      <c r="A86" s="16" t="s">
        <v>245</v>
      </c>
      <c r="B86" s="25">
        <v>15000</v>
      </c>
      <c r="C86" s="27">
        <v>10000</v>
      </c>
      <c r="D86" s="26">
        <f t="shared" si="2"/>
        <v>66.66666666666666</v>
      </c>
      <c r="E86" s="49">
        <f t="shared" si="1"/>
        <v>-5000</v>
      </c>
    </row>
    <row r="87" spans="1:5" ht="38.25" customHeight="1">
      <c r="A87" s="119" t="s">
        <v>183</v>
      </c>
      <c r="B87" s="120">
        <v>0</v>
      </c>
      <c r="C87" s="121">
        <v>0</v>
      </c>
      <c r="D87" s="26" t="str">
        <f t="shared" si="2"/>
        <v>   </v>
      </c>
      <c r="E87" s="49">
        <f t="shared" si="1"/>
        <v>0</v>
      </c>
    </row>
    <row r="88" spans="1:5" ht="21.75" customHeight="1">
      <c r="A88" s="119" t="s">
        <v>230</v>
      </c>
      <c r="B88" s="198">
        <f>SUM(B89:B91)</f>
        <v>1695800</v>
      </c>
      <c r="C88" s="198">
        <f>SUM(C89:C91)</f>
        <v>0</v>
      </c>
      <c r="D88" s="26">
        <f t="shared" si="2"/>
        <v>0</v>
      </c>
      <c r="E88" s="49">
        <f t="shared" si="1"/>
        <v>-1695800</v>
      </c>
    </row>
    <row r="89" spans="1:5" ht="13.5" customHeight="1">
      <c r="A89" s="47" t="s">
        <v>234</v>
      </c>
      <c r="B89" s="120">
        <v>0</v>
      </c>
      <c r="C89" s="121">
        <v>0</v>
      </c>
      <c r="D89" s="26"/>
      <c r="E89" s="49"/>
    </row>
    <row r="90" spans="1:5" ht="11.25" customHeight="1">
      <c r="A90" s="47" t="s">
        <v>235</v>
      </c>
      <c r="B90" s="120">
        <v>819000</v>
      </c>
      <c r="C90" s="121">
        <v>0</v>
      </c>
      <c r="D90" s="26"/>
      <c r="E90" s="49"/>
    </row>
    <row r="91" spans="1:5" ht="14.25" customHeight="1">
      <c r="A91" s="47" t="s">
        <v>236</v>
      </c>
      <c r="B91" s="125">
        <v>876800</v>
      </c>
      <c r="C91" s="121">
        <v>0</v>
      </c>
      <c r="D91" s="26"/>
      <c r="E91" s="49"/>
    </row>
    <row r="92" spans="1:5" ht="14.25" customHeight="1">
      <c r="A92" s="47" t="s">
        <v>256</v>
      </c>
      <c r="B92" s="125">
        <v>90000</v>
      </c>
      <c r="C92" s="121">
        <v>13558.5</v>
      </c>
      <c r="D92" s="26"/>
      <c r="E92" s="49"/>
    </row>
    <row r="93" spans="1:5" ht="14.25" customHeight="1">
      <c r="A93" s="47" t="s">
        <v>257</v>
      </c>
      <c r="B93" s="125">
        <v>90000</v>
      </c>
      <c r="C93" s="121">
        <v>13558.5</v>
      </c>
      <c r="D93" s="26"/>
      <c r="E93" s="49"/>
    </row>
    <row r="94" spans="1:5" ht="14.25" customHeight="1">
      <c r="A94" s="47" t="s">
        <v>316</v>
      </c>
      <c r="B94" s="125"/>
      <c r="C94" s="121">
        <v>100000</v>
      </c>
      <c r="D94" s="26"/>
      <c r="E94" s="49"/>
    </row>
    <row r="95" spans="1:5" ht="17.25" customHeight="1">
      <c r="A95" s="164" t="s">
        <v>19</v>
      </c>
      <c r="B95" s="168">
        <f>B41+B50+B52+B57+B61+B77+B78+B82+B84+B92</f>
        <v>18385300</v>
      </c>
      <c r="C95" s="168">
        <f>C41+C50+C52+C57+C61+C77+C78+C82+C84+C92+C94</f>
        <v>2024261.73</v>
      </c>
      <c r="D95" s="166">
        <f t="shared" si="2"/>
        <v>11.010218652945559</v>
      </c>
      <c r="E95" s="167">
        <f t="shared" si="1"/>
        <v>-16361038.27</v>
      </c>
    </row>
    <row r="96" spans="1:5" ht="13.5" thickBot="1">
      <c r="A96" s="98" t="s">
        <v>211</v>
      </c>
      <c r="B96" s="212">
        <f>B43+B55+B80</f>
        <v>1366904</v>
      </c>
      <c r="C96" s="212">
        <f>C43+C55+C80</f>
        <v>130575.86</v>
      </c>
      <c r="D96" s="99">
        <f t="shared" si="2"/>
        <v>9.552672316417246</v>
      </c>
      <c r="E96" s="100">
        <f t="shared" si="1"/>
        <v>-1236328.14</v>
      </c>
    </row>
    <row r="97" spans="1:5" s="76" customFormat="1" ht="23.25" customHeight="1">
      <c r="A97" s="110" t="s">
        <v>251</v>
      </c>
      <c r="B97" s="110"/>
      <c r="C97" s="250"/>
      <c r="D97" s="250"/>
      <c r="E97" s="250"/>
    </row>
    <row r="98" spans="1:5" s="76" customFormat="1" ht="12" customHeight="1">
      <c r="A98" s="110" t="s">
        <v>250</v>
      </c>
      <c r="B98" s="110"/>
      <c r="C98" s="111" t="s">
        <v>252</v>
      </c>
      <c r="D98" s="112"/>
      <c r="E98" s="113"/>
    </row>
    <row r="99" spans="1:5" ht="12.75">
      <c r="A99" s="7"/>
      <c r="B99" s="7"/>
      <c r="C99" s="6"/>
      <c r="D99" s="7"/>
      <c r="E99" s="2"/>
    </row>
    <row r="100" spans="1:5" ht="12.75">
      <c r="A100" s="7"/>
      <c r="B100" s="7"/>
      <c r="C100" s="6"/>
      <c r="D100" s="7"/>
      <c r="E100" s="2"/>
    </row>
    <row r="101" spans="1:5" ht="12.75">
      <c r="A101" s="7"/>
      <c r="B101" s="7"/>
      <c r="C101" s="6"/>
      <c r="D101" s="7"/>
      <c r="E101" s="2"/>
    </row>
    <row r="102" spans="1:5" ht="12.75">
      <c r="A102" s="7"/>
      <c r="B102" s="7"/>
      <c r="C102" s="6"/>
      <c r="D102" s="7"/>
      <c r="E102" s="2"/>
    </row>
  </sheetData>
  <mergeCells count="2">
    <mergeCell ref="A1:E1"/>
    <mergeCell ref="C97:E97"/>
  </mergeCells>
  <printOptions/>
  <pageMargins left="0.7874015748031497" right="0.7874015748031497" top="0.5905511811023623" bottom="0.5118110236220472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4"/>
  <sheetViews>
    <sheetView workbookViewId="0" topLeftCell="A25">
      <selection activeCell="B59" sqref="B59"/>
    </sheetView>
  </sheetViews>
  <sheetFormatPr defaultColWidth="9.00390625" defaultRowHeight="12.75"/>
  <cols>
    <col min="1" max="1" width="97.625" style="0" customWidth="1"/>
    <col min="2" max="2" width="18.75390625" style="0" customWidth="1"/>
    <col min="3" max="3" width="19.375" style="0" customWidth="1"/>
    <col min="4" max="4" width="19.75390625" style="0" customWidth="1"/>
    <col min="5" max="5" width="19.25390625" style="0" customWidth="1"/>
  </cols>
  <sheetData>
    <row r="1" spans="1:5" ht="18">
      <c r="A1" s="252" t="s">
        <v>313</v>
      </c>
      <c r="B1" s="252"/>
      <c r="C1" s="252"/>
      <c r="D1" s="252"/>
      <c r="E1" s="252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66.75" customHeight="1">
      <c r="A4" s="35" t="s">
        <v>1</v>
      </c>
      <c r="B4" s="19" t="s">
        <v>284</v>
      </c>
      <c r="C4" s="32" t="s">
        <v>305</v>
      </c>
      <c r="D4" s="19" t="s">
        <v>276</v>
      </c>
      <c r="E4" s="101" t="s">
        <v>299</v>
      </c>
    </row>
    <row r="5" spans="1:5" ht="12.75">
      <c r="A5" s="13">
        <v>1</v>
      </c>
      <c r="B5" s="97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58</v>
      </c>
      <c r="B7" s="191">
        <f>SUM(B8)</f>
        <v>103800</v>
      </c>
      <c r="C7" s="191">
        <f>SUM(C8)</f>
        <v>20653.63</v>
      </c>
      <c r="D7" s="26">
        <f aca="true" t="shared" si="0" ref="D7:D67">IF(B7=0,"   ",C7/B7*100)</f>
        <v>19.89752408477842</v>
      </c>
      <c r="E7" s="49">
        <f aca="true" t="shared" si="1" ref="E7:E88">C7-B7</f>
        <v>-83146.37</v>
      </c>
    </row>
    <row r="8" spans="1:5" ht="12.75">
      <c r="A8" s="16" t="s">
        <v>57</v>
      </c>
      <c r="B8" s="25">
        <v>103800</v>
      </c>
      <c r="C8" s="27">
        <v>20653.63</v>
      </c>
      <c r="D8" s="26">
        <f t="shared" si="0"/>
        <v>19.89752408477842</v>
      </c>
      <c r="E8" s="49">
        <f t="shared" si="1"/>
        <v>-83146.37</v>
      </c>
    </row>
    <row r="9" spans="1:5" ht="12.75">
      <c r="A9" s="16" t="s">
        <v>7</v>
      </c>
      <c r="B9" s="193">
        <f>SUM(B10:B10)</f>
        <v>4300</v>
      </c>
      <c r="C9" s="193">
        <f>SUM(C10:C10)</f>
        <v>63</v>
      </c>
      <c r="D9" s="26">
        <f t="shared" si="0"/>
        <v>1.4651162790697674</v>
      </c>
      <c r="E9" s="49">
        <f t="shared" si="1"/>
        <v>-4237</v>
      </c>
    </row>
    <row r="10" spans="1:5" ht="12.75">
      <c r="A10" s="16" t="s">
        <v>38</v>
      </c>
      <c r="B10" s="25">
        <v>4300</v>
      </c>
      <c r="C10" s="27">
        <v>63</v>
      </c>
      <c r="D10" s="26">
        <f t="shared" si="0"/>
        <v>1.4651162790697674</v>
      </c>
      <c r="E10" s="49">
        <f t="shared" si="1"/>
        <v>-4237</v>
      </c>
    </row>
    <row r="11" spans="1:5" ht="12.75">
      <c r="A11" s="16" t="s">
        <v>9</v>
      </c>
      <c r="B11" s="193">
        <f>SUM(B12:B13)</f>
        <v>218800</v>
      </c>
      <c r="C11" s="193">
        <f>SUM(C12:C13)</f>
        <v>13025.8</v>
      </c>
      <c r="D11" s="26">
        <f t="shared" si="0"/>
        <v>5.9532906764168185</v>
      </c>
      <c r="E11" s="49">
        <f t="shared" si="1"/>
        <v>-205774.2</v>
      </c>
    </row>
    <row r="12" spans="1:5" ht="12.75">
      <c r="A12" s="16" t="s">
        <v>39</v>
      </c>
      <c r="B12" s="25">
        <v>68800</v>
      </c>
      <c r="C12" s="27">
        <v>1460.56</v>
      </c>
      <c r="D12" s="26">
        <f t="shared" si="0"/>
        <v>2.122906976744186</v>
      </c>
      <c r="E12" s="49">
        <f t="shared" si="1"/>
        <v>-67339.44</v>
      </c>
    </row>
    <row r="13" spans="1:5" ht="12.75">
      <c r="A13" s="16" t="s">
        <v>10</v>
      </c>
      <c r="B13" s="25">
        <v>150000</v>
      </c>
      <c r="C13" s="27">
        <v>11565.24</v>
      </c>
      <c r="D13" s="26">
        <f t="shared" si="0"/>
        <v>7.710159999999999</v>
      </c>
      <c r="E13" s="49">
        <f t="shared" si="1"/>
        <v>-138434.76</v>
      </c>
    </row>
    <row r="14" spans="1:5" ht="25.5">
      <c r="A14" s="16" t="s">
        <v>127</v>
      </c>
      <c r="B14" s="25">
        <v>0</v>
      </c>
      <c r="C14" s="27">
        <v>0</v>
      </c>
      <c r="D14" s="26" t="str">
        <f t="shared" si="0"/>
        <v>   </v>
      </c>
      <c r="E14" s="49">
        <f t="shared" si="1"/>
        <v>0</v>
      </c>
    </row>
    <row r="15" spans="1:5" ht="29.25" customHeight="1">
      <c r="A15" s="16" t="s">
        <v>40</v>
      </c>
      <c r="B15" s="193">
        <f>SUM(B16:B17)</f>
        <v>10500</v>
      </c>
      <c r="C15" s="191">
        <f>SUM(C16:C17)</f>
        <v>1737.5</v>
      </c>
      <c r="D15" s="26">
        <f t="shared" si="0"/>
        <v>16.547619047619047</v>
      </c>
      <c r="E15" s="49">
        <f t="shared" si="1"/>
        <v>-8762.5</v>
      </c>
    </row>
    <row r="16" spans="1:5" ht="12.75">
      <c r="A16" s="16" t="s">
        <v>41</v>
      </c>
      <c r="B16" s="25">
        <v>10500</v>
      </c>
      <c r="C16" s="27">
        <v>1737.5</v>
      </c>
      <c r="D16" s="26">
        <f t="shared" si="0"/>
        <v>16.547619047619047</v>
      </c>
      <c r="E16" s="49">
        <f t="shared" si="1"/>
        <v>-8762.5</v>
      </c>
    </row>
    <row r="17" spans="1:5" ht="25.5" customHeight="1">
      <c r="A17" s="16" t="s">
        <v>42</v>
      </c>
      <c r="B17" s="25">
        <v>0</v>
      </c>
      <c r="C17" s="27">
        <v>0</v>
      </c>
      <c r="D17" s="26" t="str">
        <f t="shared" si="0"/>
        <v>   </v>
      </c>
      <c r="E17" s="49">
        <f t="shared" si="1"/>
        <v>0</v>
      </c>
    </row>
    <row r="18" spans="1:5" ht="18.75" customHeight="1">
      <c r="A18" s="16" t="s">
        <v>113</v>
      </c>
      <c r="B18" s="25">
        <v>0</v>
      </c>
      <c r="C18" s="27">
        <v>0</v>
      </c>
      <c r="D18" s="26" t="str">
        <f t="shared" si="0"/>
        <v>   </v>
      </c>
      <c r="E18" s="49">
        <f t="shared" si="1"/>
        <v>0</v>
      </c>
    </row>
    <row r="19" spans="1:5" ht="17.25" customHeight="1">
      <c r="A19" s="16" t="s">
        <v>101</v>
      </c>
      <c r="B19" s="191">
        <f>B20</f>
        <v>0</v>
      </c>
      <c r="C19" s="191">
        <f>C20</f>
        <v>11071.46</v>
      </c>
      <c r="D19" s="26" t="str">
        <f t="shared" si="0"/>
        <v>   </v>
      </c>
      <c r="E19" s="49">
        <f t="shared" si="1"/>
        <v>11071.46</v>
      </c>
    </row>
    <row r="20" spans="1:5" ht="27.75" customHeight="1">
      <c r="A20" s="16" t="s">
        <v>102</v>
      </c>
      <c r="B20" s="25">
        <v>0</v>
      </c>
      <c r="C20" s="27">
        <v>11071.46</v>
      </c>
      <c r="D20" s="26" t="str">
        <f t="shared" si="0"/>
        <v>   </v>
      </c>
      <c r="E20" s="49">
        <f t="shared" si="1"/>
        <v>11071.46</v>
      </c>
    </row>
    <row r="21" spans="1:5" ht="14.25" customHeight="1">
      <c r="A21" s="16" t="s">
        <v>44</v>
      </c>
      <c r="B21" s="193">
        <f>B22+B23</f>
        <v>0</v>
      </c>
      <c r="C21" s="193">
        <f>SUM(C22:C23)</f>
        <v>78.67</v>
      </c>
      <c r="D21" s="26" t="str">
        <f t="shared" si="0"/>
        <v>   </v>
      </c>
      <c r="E21" s="49">
        <f t="shared" si="1"/>
        <v>78.67</v>
      </c>
    </row>
    <row r="22" spans="1:5" ht="12.75">
      <c r="A22" s="16" t="s">
        <v>59</v>
      </c>
      <c r="B22" s="25">
        <v>0</v>
      </c>
      <c r="C22" s="25">
        <v>78.67</v>
      </c>
      <c r="D22" s="26"/>
      <c r="E22" s="49"/>
    </row>
    <row r="23" spans="1:5" ht="12.75">
      <c r="A23" s="16" t="s">
        <v>66</v>
      </c>
      <c r="B23" s="25">
        <v>0</v>
      </c>
      <c r="C23" s="27">
        <v>0</v>
      </c>
      <c r="D23" s="26" t="str">
        <f t="shared" si="0"/>
        <v>   </v>
      </c>
      <c r="E23" s="49">
        <f t="shared" si="1"/>
        <v>0</v>
      </c>
    </row>
    <row r="24" spans="1:5" ht="15.75" customHeight="1">
      <c r="A24" s="16" t="s">
        <v>43</v>
      </c>
      <c r="B24" s="25">
        <v>0</v>
      </c>
      <c r="C24" s="25">
        <v>0</v>
      </c>
      <c r="D24" s="26" t="str">
        <f t="shared" si="0"/>
        <v>   </v>
      </c>
      <c r="E24" s="49">
        <f t="shared" si="1"/>
        <v>0</v>
      </c>
    </row>
    <row r="25" spans="1:5" ht="18" customHeight="1">
      <c r="A25" s="164" t="s">
        <v>11</v>
      </c>
      <c r="B25" s="165">
        <f>SUM(B7,B9,B11,B15,B18,B19,B21,B24,B14)</f>
        <v>337400</v>
      </c>
      <c r="C25" s="165">
        <f>SUM(C7,C9,C11,C15,C18,C19,C21,C24,C14)</f>
        <v>46630.06</v>
      </c>
      <c r="D25" s="166">
        <f t="shared" si="0"/>
        <v>13.820409010077059</v>
      </c>
      <c r="E25" s="167">
        <f t="shared" si="1"/>
        <v>-290769.94</v>
      </c>
    </row>
    <row r="26" spans="1:5" ht="18" customHeight="1">
      <c r="A26" s="117" t="s">
        <v>205</v>
      </c>
      <c r="B26" s="50">
        <v>0</v>
      </c>
      <c r="C26" s="50">
        <v>0</v>
      </c>
      <c r="D26" s="26"/>
      <c r="E26" s="49"/>
    </row>
    <row r="27" spans="1:5" ht="16.5" customHeight="1">
      <c r="A27" s="17" t="s">
        <v>46</v>
      </c>
      <c r="B27" s="24">
        <v>1557800</v>
      </c>
      <c r="C27" s="24">
        <v>272150</v>
      </c>
      <c r="D27" s="26">
        <f t="shared" si="0"/>
        <v>17.470150211837208</v>
      </c>
      <c r="E27" s="49">
        <f t="shared" si="1"/>
        <v>-1285650</v>
      </c>
    </row>
    <row r="28" spans="1:5" ht="14.25" customHeight="1">
      <c r="A28" s="16" t="s">
        <v>63</v>
      </c>
      <c r="B28" s="25">
        <v>185500</v>
      </c>
      <c r="C28" s="27">
        <v>0</v>
      </c>
      <c r="D28" s="26">
        <f t="shared" si="0"/>
        <v>0</v>
      </c>
      <c r="E28" s="49">
        <f t="shared" si="1"/>
        <v>-185500</v>
      </c>
    </row>
    <row r="29" spans="1:5" ht="30.75" customHeight="1">
      <c r="A29" s="200" t="s">
        <v>67</v>
      </c>
      <c r="B29" s="201">
        <v>50300</v>
      </c>
      <c r="C29" s="205">
        <v>8400</v>
      </c>
      <c r="D29" s="202">
        <f t="shared" si="0"/>
        <v>16.69980119284294</v>
      </c>
      <c r="E29" s="203">
        <f t="shared" si="1"/>
        <v>-41900</v>
      </c>
    </row>
    <row r="30" spans="1:5" ht="32.25" customHeight="1">
      <c r="A30" s="200" t="s">
        <v>68</v>
      </c>
      <c r="B30" s="201">
        <v>100</v>
      </c>
      <c r="C30" s="201">
        <v>0</v>
      </c>
      <c r="D30" s="202">
        <f t="shared" si="0"/>
        <v>0</v>
      </c>
      <c r="E30" s="203">
        <f t="shared" si="1"/>
        <v>-100</v>
      </c>
    </row>
    <row r="31" spans="1:5" ht="24" customHeight="1">
      <c r="A31" s="16" t="s">
        <v>265</v>
      </c>
      <c r="B31" s="25">
        <v>0</v>
      </c>
      <c r="C31" s="25">
        <v>0</v>
      </c>
      <c r="D31" s="26" t="str">
        <f t="shared" si="0"/>
        <v>   </v>
      </c>
      <c r="E31" s="49">
        <f t="shared" si="1"/>
        <v>0</v>
      </c>
    </row>
    <row r="32" spans="1:5" ht="25.5" customHeight="1">
      <c r="A32" s="16" t="s">
        <v>115</v>
      </c>
      <c r="B32" s="25">
        <v>0</v>
      </c>
      <c r="C32" s="25">
        <v>0</v>
      </c>
      <c r="D32" s="26" t="str">
        <f t="shared" si="0"/>
        <v>   </v>
      </c>
      <c r="E32" s="49">
        <f t="shared" si="1"/>
        <v>0</v>
      </c>
    </row>
    <row r="33" spans="1:5" ht="27.75" customHeight="1">
      <c r="A33" s="16" t="s">
        <v>170</v>
      </c>
      <c r="B33" s="25">
        <v>0</v>
      </c>
      <c r="C33" s="25">
        <v>0</v>
      </c>
      <c r="D33" s="26" t="str">
        <f t="shared" si="0"/>
        <v>   </v>
      </c>
      <c r="E33" s="49">
        <f t="shared" si="1"/>
        <v>0</v>
      </c>
    </row>
    <row r="34" spans="1:5" ht="40.5" customHeight="1">
      <c r="A34" s="16" t="s">
        <v>300</v>
      </c>
      <c r="B34" s="25">
        <v>741900</v>
      </c>
      <c r="C34" s="25">
        <v>0</v>
      </c>
      <c r="D34" s="26">
        <f t="shared" si="0"/>
        <v>0</v>
      </c>
      <c r="E34" s="49">
        <f t="shared" si="1"/>
        <v>-741900</v>
      </c>
    </row>
    <row r="35" spans="1:5" ht="40.5" customHeight="1">
      <c r="A35" s="17" t="s">
        <v>275</v>
      </c>
      <c r="B35" s="25">
        <v>0</v>
      </c>
      <c r="C35" s="25">
        <v>0</v>
      </c>
      <c r="D35" s="26" t="str">
        <f t="shared" si="0"/>
        <v>   </v>
      </c>
      <c r="E35" s="49">
        <f t="shared" si="1"/>
        <v>0</v>
      </c>
    </row>
    <row r="36" spans="1:5" ht="30.75" customHeight="1">
      <c r="A36" s="242" t="s">
        <v>149</v>
      </c>
      <c r="B36" s="201">
        <v>3300</v>
      </c>
      <c r="C36" s="201">
        <v>0</v>
      </c>
      <c r="D36" s="202">
        <f t="shared" si="0"/>
        <v>0</v>
      </c>
      <c r="E36" s="203">
        <f t="shared" si="1"/>
        <v>-3300</v>
      </c>
    </row>
    <row r="37" spans="1:5" ht="17.25" customHeight="1">
      <c r="A37" s="16" t="s">
        <v>72</v>
      </c>
      <c r="B37" s="193">
        <f>B38</f>
        <v>108900</v>
      </c>
      <c r="C37" s="193">
        <f>C38</f>
        <v>0</v>
      </c>
      <c r="D37" s="26">
        <f t="shared" si="0"/>
        <v>0</v>
      </c>
      <c r="E37" s="49">
        <f t="shared" si="1"/>
        <v>-108900</v>
      </c>
    </row>
    <row r="38" spans="1:5" s="7" customFormat="1" ht="14.25" customHeight="1">
      <c r="A38" s="16" t="s">
        <v>180</v>
      </c>
      <c r="B38" s="64">
        <v>108900</v>
      </c>
      <c r="C38" s="25">
        <v>0</v>
      </c>
      <c r="D38" s="64">
        <f t="shared" si="0"/>
        <v>0</v>
      </c>
      <c r="E38" s="43">
        <f t="shared" si="1"/>
        <v>-108900</v>
      </c>
    </row>
    <row r="39" spans="1:5" ht="18.75" customHeight="1">
      <c r="A39" s="16" t="s">
        <v>47</v>
      </c>
      <c r="B39" s="25">
        <v>0</v>
      </c>
      <c r="C39" s="25">
        <v>0</v>
      </c>
      <c r="D39" s="26" t="str">
        <f t="shared" si="0"/>
        <v>   </v>
      </c>
      <c r="E39" s="49">
        <f t="shared" si="1"/>
        <v>0</v>
      </c>
    </row>
    <row r="40" spans="1:5" ht="23.25" customHeight="1">
      <c r="A40" s="164" t="s">
        <v>14</v>
      </c>
      <c r="B40" s="168">
        <f>SUM(B25,B27,B28,B29:B30,B31,B32,B33,B34,B36,B37,B39+B26+B35)</f>
        <v>2985200</v>
      </c>
      <c r="C40" s="168">
        <f>SUM(C25,C26,C27,C28,C29:C30,C31,C32,C33,C34,C36,C37,C39)</f>
        <v>327180.06</v>
      </c>
      <c r="D40" s="166">
        <f t="shared" si="0"/>
        <v>10.960071686989146</v>
      </c>
      <c r="E40" s="167">
        <f t="shared" si="1"/>
        <v>-2658019.94</v>
      </c>
    </row>
    <row r="41" spans="1:5" ht="12.75">
      <c r="A41" s="22" t="s">
        <v>15</v>
      </c>
      <c r="B41" s="51"/>
      <c r="C41" s="52"/>
      <c r="D41" s="26" t="str">
        <f t="shared" si="0"/>
        <v>   </v>
      </c>
      <c r="E41" s="49">
        <f t="shared" si="1"/>
        <v>0</v>
      </c>
    </row>
    <row r="42" spans="1:5" ht="12.75">
      <c r="A42" s="16" t="s">
        <v>48</v>
      </c>
      <c r="B42" s="25">
        <v>755700</v>
      </c>
      <c r="C42" s="25">
        <v>58736.58</v>
      </c>
      <c r="D42" s="26">
        <f t="shared" si="0"/>
        <v>7.772473203652243</v>
      </c>
      <c r="E42" s="49">
        <f t="shared" si="1"/>
        <v>-696963.42</v>
      </c>
    </row>
    <row r="43" spans="1:5" ht="14.25" customHeight="1">
      <c r="A43" s="16" t="s">
        <v>49</v>
      </c>
      <c r="B43" s="25">
        <v>755200</v>
      </c>
      <c r="C43" s="25">
        <v>58736.58</v>
      </c>
      <c r="D43" s="26">
        <f t="shared" si="0"/>
        <v>7.777619173728814</v>
      </c>
      <c r="E43" s="49">
        <f t="shared" si="1"/>
        <v>-696463.42</v>
      </c>
    </row>
    <row r="44" spans="1:5" ht="12.75">
      <c r="A44" s="118" t="s">
        <v>208</v>
      </c>
      <c r="B44" s="25">
        <v>476900</v>
      </c>
      <c r="C44" s="28">
        <v>47199.32</v>
      </c>
      <c r="D44" s="26">
        <f t="shared" si="0"/>
        <v>9.897110505347033</v>
      </c>
      <c r="E44" s="49">
        <f t="shared" si="1"/>
        <v>-429700.68</v>
      </c>
    </row>
    <row r="45" spans="1:5" ht="12.75">
      <c r="A45" s="16" t="s">
        <v>184</v>
      </c>
      <c r="B45" s="25">
        <v>100</v>
      </c>
      <c r="C45" s="28">
        <v>0</v>
      </c>
      <c r="D45" s="26">
        <f t="shared" si="0"/>
        <v>0</v>
      </c>
      <c r="E45" s="49">
        <f t="shared" si="1"/>
        <v>-100</v>
      </c>
    </row>
    <row r="46" spans="1:5" ht="12.75">
      <c r="A46" s="16" t="s">
        <v>141</v>
      </c>
      <c r="B46" s="25">
        <v>500</v>
      </c>
      <c r="C46" s="27">
        <v>0</v>
      </c>
      <c r="D46" s="26">
        <f t="shared" si="0"/>
        <v>0</v>
      </c>
      <c r="E46" s="49">
        <f t="shared" si="1"/>
        <v>-500</v>
      </c>
    </row>
    <row r="47" spans="1:5" ht="12.75">
      <c r="A47" s="16" t="s">
        <v>69</v>
      </c>
      <c r="B47" s="193">
        <f>B48</f>
        <v>36502</v>
      </c>
      <c r="C47" s="193">
        <f>C48</f>
        <v>0</v>
      </c>
      <c r="D47" s="26">
        <f t="shared" si="0"/>
        <v>0</v>
      </c>
      <c r="E47" s="49">
        <f t="shared" si="1"/>
        <v>-36502</v>
      </c>
    </row>
    <row r="48" spans="1:5" ht="12.75">
      <c r="A48" s="16" t="s">
        <v>85</v>
      </c>
      <c r="B48" s="25">
        <v>36502</v>
      </c>
      <c r="C48" s="27">
        <v>0</v>
      </c>
      <c r="D48" s="26">
        <f t="shared" si="0"/>
        <v>0</v>
      </c>
      <c r="E48" s="49">
        <f t="shared" si="1"/>
        <v>-36502</v>
      </c>
    </row>
    <row r="49" spans="1:5" ht="12.75">
      <c r="A49" s="16" t="s">
        <v>65</v>
      </c>
      <c r="B49" s="194">
        <f>SUM(B50)</f>
        <v>50300</v>
      </c>
      <c r="C49" s="194">
        <f>SUM(C50)</f>
        <v>3888.76</v>
      </c>
      <c r="D49" s="26">
        <f t="shared" si="0"/>
        <v>7.731133200795229</v>
      </c>
      <c r="E49" s="49">
        <f t="shared" si="1"/>
        <v>-46411.24</v>
      </c>
    </row>
    <row r="50" spans="1:5" ht="24.75" customHeight="1">
      <c r="A50" s="16" t="s">
        <v>176</v>
      </c>
      <c r="B50" s="25">
        <v>50300</v>
      </c>
      <c r="C50" s="27">
        <v>3888.76</v>
      </c>
      <c r="D50" s="26">
        <f t="shared" si="0"/>
        <v>7.731133200795229</v>
      </c>
      <c r="E50" s="49">
        <f t="shared" si="1"/>
        <v>-46411.24</v>
      </c>
    </row>
    <row r="51" spans="1:5" ht="14.25" customHeight="1">
      <c r="A51" s="16" t="s">
        <v>50</v>
      </c>
      <c r="B51" s="193">
        <f>SUM(B52)</f>
        <v>600</v>
      </c>
      <c r="C51" s="194">
        <f>SUM(C52)</f>
        <v>0</v>
      </c>
      <c r="D51" s="26">
        <f t="shared" si="0"/>
        <v>0</v>
      </c>
      <c r="E51" s="49">
        <f t="shared" si="1"/>
        <v>-600</v>
      </c>
    </row>
    <row r="52" spans="1:5" ht="25.5" customHeight="1">
      <c r="A52" s="47" t="s">
        <v>129</v>
      </c>
      <c r="B52" s="25">
        <v>600</v>
      </c>
      <c r="C52" s="27">
        <v>0</v>
      </c>
      <c r="D52" s="26">
        <f t="shared" si="0"/>
        <v>0</v>
      </c>
      <c r="E52" s="49">
        <f t="shared" si="1"/>
        <v>-600</v>
      </c>
    </row>
    <row r="53" spans="1:5" ht="12.75">
      <c r="A53" s="16" t="s">
        <v>51</v>
      </c>
      <c r="B53" s="193">
        <f>SUM(B54)</f>
        <v>208900</v>
      </c>
      <c r="C53" s="193">
        <f>SUM(C54)</f>
        <v>25000</v>
      </c>
      <c r="D53" s="26">
        <f t="shared" si="0"/>
        <v>11.96744853997128</v>
      </c>
      <c r="E53" s="49">
        <f t="shared" si="1"/>
        <v>-183900</v>
      </c>
    </row>
    <row r="54" spans="1:5" ht="12.75" customHeight="1">
      <c r="A54" s="145" t="s">
        <v>287</v>
      </c>
      <c r="B54" s="25">
        <f>B55+B56</f>
        <v>208900</v>
      </c>
      <c r="C54" s="25">
        <f>C55+C56</f>
        <v>25000</v>
      </c>
      <c r="D54" s="26">
        <f t="shared" si="0"/>
        <v>11.96744853997128</v>
      </c>
      <c r="E54" s="49">
        <f t="shared" si="1"/>
        <v>-183900</v>
      </c>
    </row>
    <row r="55" spans="1:5" ht="26.25" customHeight="1">
      <c r="A55" s="91" t="s">
        <v>288</v>
      </c>
      <c r="B55" s="25">
        <v>108900</v>
      </c>
      <c r="C55" s="25">
        <v>0</v>
      </c>
      <c r="D55" s="26">
        <f t="shared" si="0"/>
        <v>0</v>
      </c>
      <c r="E55" s="49">
        <f t="shared" si="1"/>
        <v>-108900</v>
      </c>
    </row>
    <row r="56" spans="1:5" ht="23.25" customHeight="1">
      <c r="A56" s="91" t="s">
        <v>289</v>
      </c>
      <c r="B56" s="25">
        <v>100000</v>
      </c>
      <c r="C56" s="25">
        <v>25000</v>
      </c>
      <c r="D56" s="26">
        <f t="shared" si="0"/>
        <v>25</v>
      </c>
      <c r="E56" s="49">
        <f t="shared" si="1"/>
        <v>-75000</v>
      </c>
    </row>
    <row r="57" spans="1:5" ht="13.5" customHeight="1">
      <c r="A57" s="16" t="s">
        <v>16</v>
      </c>
      <c r="B57" s="193">
        <f>SUM(B58)</f>
        <v>115000</v>
      </c>
      <c r="C57" s="193">
        <f>SUM(C58)</f>
        <v>0</v>
      </c>
      <c r="D57" s="26">
        <f t="shared" si="0"/>
        <v>0</v>
      </c>
      <c r="E57" s="49">
        <f t="shared" si="1"/>
        <v>-115000</v>
      </c>
    </row>
    <row r="58" spans="1:5" ht="12.75">
      <c r="A58" s="16" t="s">
        <v>79</v>
      </c>
      <c r="B58" s="25">
        <v>115000</v>
      </c>
      <c r="C58" s="25">
        <v>0</v>
      </c>
      <c r="D58" s="26">
        <f t="shared" si="0"/>
        <v>0</v>
      </c>
      <c r="E58" s="49">
        <f t="shared" si="1"/>
        <v>-115000</v>
      </c>
    </row>
    <row r="59" spans="1:5" ht="12.75">
      <c r="A59" s="16" t="s">
        <v>77</v>
      </c>
      <c r="B59" s="25">
        <v>115000</v>
      </c>
      <c r="C59" s="27">
        <v>0</v>
      </c>
      <c r="D59" s="26">
        <f t="shared" si="0"/>
        <v>0</v>
      </c>
      <c r="E59" s="49">
        <f t="shared" si="1"/>
        <v>-115000</v>
      </c>
    </row>
    <row r="60" spans="1:5" ht="12.75">
      <c r="A60" s="16" t="s">
        <v>80</v>
      </c>
      <c r="B60" s="25">
        <v>0</v>
      </c>
      <c r="C60" s="27">
        <v>0</v>
      </c>
      <c r="D60" s="26" t="str">
        <f t="shared" si="0"/>
        <v>   </v>
      </c>
      <c r="E60" s="49">
        <f t="shared" si="1"/>
        <v>0</v>
      </c>
    </row>
    <row r="61" spans="1:5" ht="17.25" customHeight="1">
      <c r="A61" s="18" t="s">
        <v>24</v>
      </c>
      <c r="B61" s="31">
        <v>10000</v>
      </c>
      <c r="C61" s="31">
        <v>0</v>
      </c>
      <c r="D61" s="26">
        <f t="shared" si="0"/>
        <v>0</v>
      </c>
      <c r="E61" s="49">
        <f t="shared" si="1"/>
        <v>-10000</v>
      </c>
    </row>
    <row r="62" spans="1:5" ht="15.75" customHeight="1">
      <c r="A62" s="16" t="s">
        <v>54</v>
      </c>
      <c r="B62" s="191">
        <f>B63</f>
        <v>983100</v>
      </c>
      <c r="C62" s="191">
        <f>C63</f>
        <v>130400</v>
      </c>
      <c r="D62" s="26">
        <f t="shared" si="0"/>
        <v>13.264164377987997</v>
      </c>
      <c r="E62" s="49">
        <f t="shared" si="1"/>
        <v>-852700</v>
      </c>
    </row>
    <row r="63" spans="1:5" ht="12.75">
      <c r="A63" s="16" t="s">
        <v>55</v>
      </c>
      <c r="B63" s="25">
        <v>983100</v>
      </c>
      <c r="C63" s="27">
        <v>130400</v>
      </c>
      <c r="D63" s="26">
        <f t="shared" si="0"/>
        <v>13.264164377987997</v>
      </c>
      <c r="E63" s="49">
        <f t="shared" si="1"/>
        <v>-852700</v>
      </c>
    </row>
    <row r="64" spans="1:5" ht="12.75">
      <c r="A64" s="118" t="s">
        <v>208</v>
      </c>
      <c r="B64" s="25">
        <v>0</v>
      </c>
      <c r="C64" s="27">
        <v>0</v>
      </c>
      <c r="D64" s="26" t="str">
        <f t="shared" si="0"/>
        <v>   </v>
      </c>
      <c r="E64" s="49">
        <f t="shared" si="1"/>
        <v>0</v>
      </c>
    </row>
    <row r="65" spans="1:5" ht="15.75" customHeight="1">
      <c r="A65" s="16" t="s">
        <v>177</v>
      </c>
      <c r="B65" s="25">
        <v>3300</v>
      </c>
      <c r="C65" s="27">
        <v>0</v>
      </c>
      <c r="D65" s="26">
        <f t="shared" si="0"/>
        <v>0</v>
      </c>
      <c r="E65" s="49">
        <f t="shared" si="1"/>
        <v>-3300</v>
      </c>
    </row>
    <row r="66" spans="1:5" ht="12.75">
      <c r="A66" s="16" t="s">
        <v>215</v>
      </c>
      <c r="B66" s="193">
        <f>SUM(B67,)</f>
        <v>20000</v>
      </c>
      <c r="C66" s="193">
        <f>SUM(C67,)</f>
        <v>0</v>
      </c>
      <c r="D66" s="26">
        <f t="shared" si="0"/>
        <v>0</v>
      </c>
      <c r="E66" s="49">
        <f t="shared" si="1"/>
        <v>-20000</v>
      </c>
    </row>
    <row r="67" spans="1:5" ht="12.75">
      <c r="A67" s="16" t="s">
        <v>56</v>
      </c>
      <c r="B67" s="25">
        <v>20000</v>
      </c>
      <c r="C67" s="28">
        <v>0</v>
      </c>
      <c r="D67" s="26">
        <f t="shared" si="0"/>
        <v>0</v>
      </c>
      <c r="E67" s="49">
        <f t="shared" si="1"/>
        <v>-20000</v>
      </c>
    </row>
    <row r="68" spans="1:5" ht="12.75">
      <c r="A68" s="16" t="s">
        <v>18</v>
      </c>
      <c r="B68" s="193">
        <f>B69+B86</f>
        <v>841600</v>
      </c>
      <c r="C68" s="193">
        <f>C69+C86</f>
        <v>0</v>
      </c>
      <c r="D68" s="26">
        <f aca="true" t="shared" si="2" ref="D68:D88">IF(B68=0,"   ",C68/B68*100)</f>
        <v>0</v>
      </c>
      <c r="E68" s="49">
        <f t="shared" si="1"/>
        <v>-841600</v>
      </c>
    </row>
    <row r="69" spans="1:5" ht="12.75">
      <c r="A69" s="16" t="s">
        <v>224</v>
      </c>
      <c r="B69" s="193">
        <f>SUM(B70,B75,B82)</f>
        <v>99700</v>
      </c>
      <c r="C69" s="193">
        <f>SUM(C70,C75,C82)</f>
        <v>0</v>
      </c>
      <c r="D69" s="26"/>
      <c r="E69" s="49"/>
    </row>
    <row r="70" spans="1:5" ht="12.75">
      <c r="A70" s="119" t="s">
        <v>254</v>
      </c>
      <c r="B70" s="198">
        <f>SUM(B71)</f>
        <v>99700</v>
      </c>
      <c r="C70" s="198">
        <f>SUM(C71)</f>
        <v>0</v>
      </c>
      <c r="D70" s="26">
        <f t="shared" si="2"/>
        <v>0</v>
      </c>
      <c r="E70" s="49">
        <f t="shared" si="1"/>
        <v>-99700</v>
      </c>
    </row>
    <row r="71" spans="1:5" ht="25.5">
      <c r="A71" s="16" t="s">
        <v>232</v>
      </c>
      <c r="B71" s="193">
        <f>SUM(B72:B74)</f>
        <v>99700</v>
      </c>
      <c r="C71" s="193">
        <f>SUM(C72:C74)</f>
        <v>0</v>
      </c>
      <c r="D71" s="26">
        <f t="shared" si="2"/>
        <v>0</v>
      </c>
      <c r="E71" s="49">
        <f t="shared" si="1"/>
        <v>-99700</v>
      </c>
    </row>
    <row r="72" spans="1:5" ht="12.75">
      <c r="A72" s="47" t="s">
        <v>234</v>
      </c>
      <c r="B72" s="124">
        <v>0</v>
      </c>
      <c r="C72" s="124"/>
      <c r="D72" s="26" t="str">
        <f t="shared" si="2"/>
        <v>   </v>
      </c>
      <c r="E72" s="49">
        <f t="shared" si="1"/>
        <v>0</v>
      </c>
    </row>
    <row r="73" spans="1:5" ht="12.75">
      <c r="A73" s="47" t="s">
        <v>235</v>
      </c>
      <c r="B73" s="124">
        <v>0</v>
      </c>
      <c r="C73" s="124"/>
      <c r="D73" s="26" t="str">
        <f t="shared" si="2"/>
        <v>   </v>
      </c>
      <c r="E73" s="49">
        <f t="shared" si="1"/>
        <v>0</v>
      </c>
    </row>
    <row r="74" spans="1:5" ht="12.75">
      <c r="A74" s="47" t="s">
        <v>236</v>
      </c>
      <c r="B74" s="124">
        <v>99700</v>
      </c>
      <c r="C74" s="124"/>
      <c r="D74" s="26">
        <f t="shared" si="2"/>
        <v>0</v>
      </c>
      <c r="E74" s="49">
        <f t="shared" si="1"/>
        <v>-99700</v>
      </c>
    </row>
    <row r="75" spans="1:6" ht="12.75">
      <c r="A75" s="119" t="s">
        <v>255</v>
      </c>
      <c r="B75" s="192">
        <f>SUM(B76,B79)</f>
        <v>0</v>
      </c>
      <c r="C75" s="192">
        <f>SUM(C76,C79)</f>
        <v>0</v>
      </c>
      <c r="D75" s="26" t="str">
        <f t="shared" si="2"/>
        <v>   </v>
      </c>
      <c r="E75" s="27">
        <f t="shared" si="1"/>
        <v>0</v>
      </c>
      <c r="F75" s="123"/>
    </row>
    <row r="76" spans="1:6" ht="12.75">
      <c r="A76" s="16" t="s">
        <v>227</v>
      </c>
      <c r="B76" s="192">
        <f>SUM(B77:B78)</f>
        <v>0</v>
      </c>
      <c r="C76" s="192">
        <f>SUM(C77:C78)</f>
        <v>0</v>
      </c>
      <c r="D76" s="26" t="str">
        <f t="shared" si="2"/>
        <v>   </v>
      </c>
      <c r="E76" s="27">
        <f t="shared" si="1"/>
        <v>0</v>
      </c>
      <c r="F76" s="123"/>
    </row>
    <row r="77" spans="1:6" ht="12.75">
      <c r="A77" s="47" t="s">
        <v>235</v>
      </c>
      <c r="B77" s="16">
        <v>0</v>
      </c>
      <c r="C77" s="25"/>
      <c r="D77" s="26" t="str">
        <f t="shared" si="2"/>
        <v>   </v>
      </c>
      <c r="E77" s="27">
        <f t="shared" si="1"/>
        <v>0</v>
      </c>
      <c r="F77" s="123"/>
    </row>
    <row r="78" spans="1:6" ht="12.75">
      <c r="A78" s="47" t="s">
        <v>236</v>
      </c>
      <c r="B78" s="16">
        <v>0</v>
      </c>
      <c r="C78" s="25"/>
      <c r="D78" s="26" t="str">
        <f t="shared" si="2"/>
        <v>   </v>
      </c>
      <c r="E78" s="27">
        <f t="shared" si="1"/>
        <v>0</v>
      </c>
      <c r="F78" s="123"/>
    </row>
    <row r="79" spans="1:6" ht="25.5">
      <c r="A79" s="16" t="s">
        <v>226</v>
      </c>
      <c r="B79" s="192">
        <f>SUM(B80:B81)</f>
        <v>0</v>
      </c>
      <c r="C79" s="192">
        <f>SUM(C80:C81)</f>
        <v>0</v>
      </c>
      <c r="D79" s="26" t="str">
        <f t="shared" si="2"/>
        <v>   </v>
      </c>
      <c r="E79" s="27">
        <f t="shared" si="1"/>
        <v>0</v>
      </c>
      <c r="F79" s="123"/>
    </row>
    <row r="80" spans="1:6" ht="12.75">
      <c r="A80" s="47" t="s">
        <v>235</v>
      </c>
      <c r="B80" s="122">
        <v>0</v>
      </c>
      <c r="C80" s="25"/>
      <c r="D80" s="26" t="str">
        <f t="shared" si="2"/>
        <v>   </v>
      </c>
      <c r="E80" s="49">
        <f t="shared" si="1"/>
        <v>0</v>
      </c>
      <c r="F80" s="123"/>
    </row>
    <row r="81" spans="1:6" ht="12.75">
      <c r="A81" s="47" t="s">
        <v>236</v>
      </c>
      <c r="B81" s="122">
        <v>0</v>
      </c>
      <c r="C81" s="25"/>
      <c r="D81" s="26" t="str">
        <f t="shared" si="2"/>
        <v>   </v>
      </c>
      <c r="E81" s="49">
        <f t="shared" si="1"/>
        <v>0</v>
      </c>
      <c r="F81" s="123"/>
    </row>
    <row r="82" spans="1:6" ht="12.75">
      <c r="A82" s="119" t="s">
        <v>228</v>
      </c>
      <c r="B82" s="240">
        <f>SUM(B83:B85)</f>
        <v>0</v>
      </c>
      <c r="C82" s="240">
        <f>SUM(C83:C85)</f>
        <v>0</v>
      </c>
      <c r="D82" s="26" t="str">
        <f t="shared" si="2"/>
        <v>   </v>
      </c>
      <c r="E82" s="49">
        <f t="shared" si="1"/>
        <v>0</v>
      </c>
      <c r="F82" s="123"/>
    </row>
    <row r="83" spans="1:6" ht="12.75">
      <c r="A83" s="47" t="s">
        <v>234</v>
      </c>
      <c r="B83" s="124">
        <v>0</v>
      </c>
      <c r="C83" s="25">
        <v>0</v>
      </c>
      <c r="D83" s="26" t="str">
        <f t="shared" si="2"/>
        <v>   </v>
      </c>
      <c r="E83" s="49">
        <f t="shared" si="1"/>
        <v>0</v>
      </c>
      <c r="F83" s="123"/>
    </row>
    <row r="84" spans="1:6" ht="12.75">
      <c r="A84" s="47" t="s">
        <v>235</v>
      </c>
      <c r="B84" s="124">
        <v>0</v>
      </c>
      <c r="C84" s="25">
        <v>0</v>
      </c>
      <c r="D84" s="26" t="str">
        <f t="shared" si="2"/>
        <v>   </v>
      </c>
      <c r="E84" s="49">
        <f t="shared" si="1"/>
        <v>0</v>
      </c>
      <c r="F84" s="123"/>
    </row>
    <row r="85" spans="1:6" ht="12.75">
      <c r="A85" s="47" t="s">
        <v>236</v>
      </c>
      <c r="B85" s="122">
        <v>0</v>
      </c>
      <c r="C85" s="25"/>
      <c r="D85" s="26" t="str">
        <f t="shared" si="2"/>
        <v>   </v>
      </c>
      <c r="E85" s="49">
        <f t="shared" si="1"/>
        <v>0</v>
      </c>
      <c r="F85" s="123"/>
    </row>
    <row r="86" spans="1:5" ht="38.25">
      <c r="A86" s="16" t="s">
        <v>221</v>
      </c>
      <c r="B86" s="25">
        <v>741900</v>
      </c>
      <c r="C86" s="25">
        <v>0</v>
      </c>
      <c r="D86" s="26">
        <f t="shared" si="2"/>
        <v>0</v>
      </c>
      <c r="E86" s="49">
        <f t="shared" si="1"/>
        <v>-741900</v>
      </c>
    </row>
    <row r="87" spans="1:5" ht="15.75">
      <c r="A87" s="164" t="s">
        <v>19</v>
      </c>
      <c r="B87" s="168">
        <f>SUM(B42,B49,B51,B53,B57,B61,B62,B66,B68,)</f>
        <v>2985200</v>
      </c>
      <c r="C87" s="168">
        <f>SUM(C42,C49,C51,C53,C57,C61,C62,C66,C68,)</f>
        <v>218025.34</v>
      </c>
      <c r="D87" s="166">
        <f t="shared" si="2"/>
        <v>7.303542141230068</v>
      </c>
      <c r="E87" s="167">
        <f t="shared" si="1"/>
        <v>-2767174.66</v>
      </c>
    </row>
    <row r="88" spans="1:5" ht="13.5" thickBot="1">
      <c r="A88" s="98" t="s">
        <v>211</v>
      </c>
      <c r="B88" s="212">
        <f>B44+B64</f>
        <v>476900</v>
      </c>
      <c r="C88" s="212">
        <f>C44+C64</f>
        <v>47199.32</v>
      </c>
      <c r="D88" s="99">
        <f t="shared" si="2"/>
        <v>9.897110505347033</v>
      </c>
      <c r="E88" s="100">
        <f t="shared" si="1"/>
        <v>-429700.68</v>
      </c>
    </row>
    <row r="89" spans="1:5" s="76" customFormat="1" ht="23.25" customHeight="1">
      <c r="A89" s="110" t="s">
        <v>251</v>
      </c>
      <c r="B89" s="110"/>
      <c r="C89" s="250"/>
      <c r="D89" s="250"/>
      <c r="E89" s="250"/>
    </row>
    <row r="90" spans="1:5" s="76" customFormat="1" ht="12" customHeight="1">
      <c r="A90" s="110" t="s">
        <v>250</v>
      </c>
      <c r="B90" s="110"/>
      <c r="C90" s="111" t="s">
        <v>252</v>
      </c>
      <c r="D90" s="112"/>
      <c r="E90" s="113"/>
    </row>
    <row r="91" spans="1:5" ht="12.75">
      <c r="A91" s="7"/>
      <c r="B91" s="7"/>
      <c r="C91" s="6"/>
      <c r="D91" s="7"/>
      <c r="E91" s="2"/>
    </row>
    <row r="92" spans="1:5" ht="12.75">
      <c r="A92" s="7"/>
      <c r="B92" s="7"/>
      <c r="C92" s="6"/>
      <c r="D92" s="7"/>
      <c r="E92" s="2"/>
    </row>
    <row r="93" spans="1:5" ht="12.75">
      <c r="A93" s="7"/>
      <c r="B93" s="7"/>
      <c r="C93" s="6"/>
      <c r="D93" s="7"/>
      <c r="E93" s="2"/>
    </row>
    <row r="94" spans="1:5" ht="12.75">
      <c r="A94" s="7"/>
      <c r="B94" s="7"/>
      <c r="C94" s="6"/>
      <c r="D94" s="7"/>
      <c r="E94" s="2"/>
    </row>
  </sheetData>
  <mergeCells count="2">
    <mergeCell ref="A1:E1"/>
    <mergeCell ref="C89:E89"/>
  </mergeCells>
  <printOptions/>
  <pageMargins left="0.7874015748031497" right="0.7874015748031497" top="0.5118110236220472" bottom="0.4724409448818898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8"/>
  <sheetViews>
    <sheetView workbookViewId="0" topLeftCell="A46">
      <selection activeCell="B62" sqref="B62"/>
    </sheetView>
  </sheetViews>
  <sheetFormatPr defaultColWidth="9.00390625" defaultRowHeight="12.75"/>
  <cols>
    <col min="1" max="1" width="85.125" style="0" customWidth="1"/>
    <col min="2" max="2" width="15.125" style="0" customWidth="1"/>
    <col min="3" max="3" width="16.625" style="0" customWidth="1"/>
    <col min="4" max="4" width="17.375" style="0" customWidth="1"/>
    <col min="5" max="5" width="17.00390625" style="0" customWidth="1"/>
  </cols>
  <sheetData>
    <row r="1" spans="1:5" ht="18">
      <c r="A1" s="252" t="s">
        <v>314</v>
      </c>
      <c r="B1" s="252"/>
      <c r="C1" s="252"/>
      <c r="D1" s="252"/>
      <c r="E1" s="252"/>
    </row>
    <row r="2" spans="1:5" ht="12.75">
      <c r="A2" s="4"/>
      <c r="B2" s="4"/>
      <c r="C2" s="3"/>
      <c r="D2" s="3"/>
      <c r="E2" s="3"/>
    </row>
    <row r="3" spans="1:5" ht="5.25" customHeight="1" thickBot="1">
      <c r="A3" s="4"/>
      <c r="B3" s="4"/>
      <c r="C3" s="5"/>
      <c r="D3" s="4"/>
      <c r="E3" s="4" t="s">
        <v>0</v>
      </c>
    </row>
    <row r="4" spans="1:5" ht="67.5" customHeight="1">
      <c r="A4" s="35" t="s">
        <v>1</v>
      </c>
      <c r="B4" s="19" t="s">
        <v>284</v>
      </c>
      <c r="C4" s="32" t="s">
        <v>305</v>
      </c>
      <c r="D4" s="19" t="s">
        <v>276</v>
      </c>
      <c r="E4" s="101" t="s">
        <v>301</v>
      </c>
    </row>
    <row r="5" spans="1:5" ht="12.75">
      <c r="A5" s="13">
        <v>1</v>
      </c>
      <c r="B5" s="97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58</v>
      </c>
      <c r="B7" s="191">
        <f>SUM(B8)</f>
        <v>940100</v>
      </c>
      <c r="C7" s="191">
        <f>SUM(C8)</f>
        <v>127257.12</v>
      </c>
      <c r="D7" s="26">
        <f aca="true" t="shared" si="0" ref="D7:D74">IF(B7=0,"   ",C7/B7*100)</f>
        <v>13.536551430698863</v>
      </c>
      <c r="E7" s="49">
        <f aca="true" t="shared" si="1" ref="E7:E100">C7-B7</f>
        <v>-812842.88</v>
      </c>
    </row>
    <row r="8" spans="1:5" ht="12.75">
      <c r="A8" s="16" t="s">
        <v>57</v>
      </c>
      <c r="B8" s="25">
        <v>940100</v>
      </c>
      <c r="C8" s="27">
        <v>127257.12</v>
      </c>
      <c r="D8" s="26">
        <f t="shared" si="0"/>
        <v>13.536551430698863</v>
      </c>
      <c r="E8" s="49">
        <f t="shared" si="1"/>
        <v>-812842.88</v>
      </c>
    </row>
    <row r="9" spans="1:5" ht="12.75">
      <c r="A9" s="16" t="s">
        <v>7</v>
      </c>
      <c r="B9" s="193">
        <f>SUM(B10:B10)</f>
        <v>800</v>
      </c>
      <c r="C9" s="193">
        <f>C10</f>
        <v>350</v>
      </c>
      <c r="D9" s="26">
        <f t="shared" si="0"/>
        <v>43.75</v>
      </c>
      <c r="E9" s="49">
        <f t="shared" si="1"/>
        <v>-450</v>
      </c>
    </row>
    <row r="10" spans="1:5" ht="12.75">
      <c r="A10" s="16" t="s">
        <v>38</v>
      </c>
      <c r="B10" s="25">
        <v>800</v>
      </c>
      <c r="C10" s="33">
        <v>350</v>
      </c>
      <c r="D10" s="26">
        <f t="shared" si="0"/>
        <v>43.75</v>
      </c>
      <c r="E10" s="49">
        <f t="shared" si="1"/>
        <v>-450</v>
      </c>
    </row>
    <row r="11" spans="1:5" ht="12.75">
      <c r="A11" s="16" t="s">
        <v>9</v>
      </c>
      <c r="B11" s="193">
        <f>SUM(B12:B13)</f>
        <v>253800</v>
      </c>
      <c r="C11" s="193">
        <f>SUM(C12:C13)</f>
        <v>29177.420000000002</v>
      </c>
      <c r="D11" s="26">
        <f t="shared" si="0"/>
        <v>11.496225374310482</v>
      </c>
      <c r="E11" s="49">
        <f t="shared" si="1"/>
        <v>-224622.58</v>
      </c>
    </row>
    <row r="12" spans="1:5" ht="12.75">
      <c r="A12" s="16" t="s">
        <v>39</v>
      </c>
      <c r="B12" s="25">
        <v>68400</v>
      </c>
      <c r="C12" s="27">
        <v>1127.45</v>
      </c>
      <c r="D12" s="26">
        <f t="shared" si="0"/>
        <v>1.6483187134502926</v>
      </c>
      <c r="E12" s="49">
        <f t="shared" si="1"/>
        <v>-67272.55</v>
      </c>
    </row>
    <row r="13" spans="1:5" ht="12.75">
      <c r="A13" s="16" t="s">
        <v>10</v>
      </c>
      <c r="B13" s="25">
        <v>185400</v>
      </c>
      <c r="C13" s="27">
        <v>28049.97</v>
      </c>
      <c r="D13" s="26">
        <f t="shared" si="0"/>
        <v>15.12943365695793</v>
      </c>
      <c r="E13" s="49">
        <f t="shared" si="1"/>
        <v>-157350.03</v>
      </c>
    </row>
    <row r="14" spans="1:5" ht="27" customHeight="1">
      <c r="A14" s="16" t="s">
        <v>127</v>
      </c>
      <c r="B14" s="25"/>
      <c r="C14" s="27">
        <v>0</v>
      </c>
      <c r="D14" s="26" t="str">
        <f t="shared" si="0"/>
        <v>   </v>
      </c>
      <c r="E14" s="49">
        <f t="shared" si="1"/>
        <v>0</v>
      </c>
    </row>
    <row r="15" spans="1:5" ht="26.25" customHeight="1">
      <c r="A15" s="16" t="s">
        <v>40</v>
      </c>
      <c r="B15" s="193">
        <f>B16+B17</f>
        <v>318400</v>
      </c>
      <c r="C15" s="193">
        <f>SUM(C16:C17)</f>
        <v>15791.74</v>
      </c>
      <c r="D15" s="26">
        <f t="shared" si="0"/>
        <v>4.959717336683417</v>
      </c>
      <c r="E15" s="49">
        <f t="shared" si="1"/>
        <v>-302608.26</v>
      </c>
    </row>
    <row r="16" spans="1:5" ht="12.75">
      <c r="A16" s="16" t="s">
        <v>41</v>
      </c>
      <c r="B16" s="25">
        <v>306300</v>
      </c>
      <c r="C16" s="27">
        <v>9639.56</v>
      </c>
      <c r="D16" s="26">
        <f t="shared" si="0"/>
        <v>3.147097616715638</v>
      </c>
      <c r="E16" s="49">
        <f t="shared" si="1"/>
        <v>-296660.44</v>
      </c>
    </row>
    <row r="17" spans="1:5" ht="25.5" customHeight="1">
      <c r="A17" s="16" t="s">
        <v>42</v>
      </c>
      <c r="B17" s="25">
        <v>12100</v>
      </c>
      <c r="C17" s="25">
        <v>6152.18</v>
      </c>
      <c r="D17" s="26">
        <f t="shared" si="0"/>
        <v>50.84446280991736</v>
      </c>
      <c r="E17" s="49">
        <f t="shared" si="1"/>
        <v>-5947.82</v>
      </c>
    </row>
    <row r="18" spans="1:5" ht="16.5" customHeight="1">
      <c r="A18" s="42" t="s">
        <v>131</v>
      </c>
      <c r="B18" s="25">
        <v>0</v>
      </c>
      <c r="C18" s="27">
        <v>0</v>
      </c>
      <c r="D18" s="26" t="str">
        <f t="shared" si="0"/>
        <v>   </v>
      </c>
      <c r="E18" s="49">
        <f t="shared" si="1"/>
        <v>0</v>
      </c>
    </row>
    <row r="19" spans="1:5" ht="14.25" customHeight="1">
      <c r="A19" s="16" t="s">
        <v>104</v>
      </c>
      <c r="B19" s="193">
        <f>SUM(B20:B20)</f>
        <v>0</v>
      </c>
      <c r="C19" s="193">
        <f>SUM(C20:C20)</f>
        <v>0</v>
      </c>
      <c r="D19" s="26" t="str">
        <f t="shared" si="0"/>
        <v>   </v>
      </c>
      <c r="E19" s="49">
        <f t="shared" si="1"/>
        <v>0</v>
      </c>
    </row>
    <row r="20" spans="1:5" ht="26.25" customHeight="1">
      <c r="A20" s="16" t="s">
        <v>105</v>
      </c>
      <c r="B20" s="25">
        <v>0</v>
      </c>
      <c r="C20" s="25">
        <v>0</v>
      </c>
      <c r="D20" s="26" t="str">
        <f t="shared" si="0"/>
        <v>   </v>
      </c>
      <c r="E20" s="49">
        <f t="shared" si="1"/>
        <v>0</v>
      </c>
    </row>
    <row r="21" spans="1:5" ht="17.25" customHeight="1">
      <c r="A21" s="16" t="s">
        <v>43</v>
      </c>
      <c r="B21" s="25">
        <v>0</v>
      </c>
      <c r="C21" s="25">
        <v>0</v>
      </c>
      <c r="D21" s="26"/>
      <c r="E21" s="49">
        <f t="shared" si="1"/>
        <v>0</v>
      </c>
    </row>
    <row r="22" spans="1:5" ht="12.75">
      <c r="A22" s="16" t="s">
        <v>44</v>
      </c>
      <c r="B22" s="193">
        <f>B23+B24</f>
        <v>0</v>
      </c>
      <c r="C22" s="191">
        <f>C23+C24</f>
        <v>8529.79</v>
      </c>
      <c r="D22" s="26" t="str">
        <f t="shared" si="0"/>
        <v>   </v>
      </c>
      <c r="E22" s="49">
        <f t="shared" si="1"/>
        <v>8529.79</v>
      </c>
    </row>
    <row r="23" spans="1:5" ht="13.5" customHeight="1">
      <c r="A23" s="16" t="s">
        <v>220</v>
      </c>
      <c r="B23" s="25">
        <v>0</v>
      </c>
      <c r="C23" s="27">
        <v>8529.79</v>
      </c>
      <c r="D23" s="26" t="str">
        <f t="shared" si="0"/>
        <v>   </v>
      </c>
      <c r="E23" s="49">
        <f t="shared" si="1"/>
        <v>8529.79</v>
      </c>
    </row>
    <row r="24" spans="1:5" ht="13.5" customHeight="1">
      <c r="A24" s="16" t="s">
        <v>258</v>
      </c>
      <c r="B24" s="25">
        <v>0</v>
      </c>
      <c r="C24" s="27">
        <v>0</v>
      </c>
      <c r="D24" s="26"/>
      <c r="E24" s="49"/>
    </row>
    <row r="25" spans="1:5" ht="14.25" customHeight="1">
      <c r="A25" s="16" t="s">
        <v>135</v>
      </c>
      <c r="B25" s="25">
        <v>0</v>
      </c>
      <c r="C25" s="24">
        <v>0</v>
      </c>
      <c r="D25" s="26" t="str">
        <f t="shared" si="0"/>
        <v>   </v>
      </c>
      <c r="E25" s="49">
        <f t="shared" si="1"/>
        <v>0</v>
      </c>
    </row>
    <row r="26" spans="1:5" ht="15" customHeight="1">
      <c r="A26" s="164" t="s">
        <v>11</v>
      </c>
      <c r="B26" s="217">
        <f>SUM(B7,B9,B11,B14,B15,B18,B19,B21,B22,B25,)</f>
        <v>1513100</v>
      </c>
      <c r="C26" s="217">
        <f>SUM(C7,C9,C11,C14,C15,C18,C19,C21,C22,C25,)</f>
        <v>181106.07</v>
      </c>
      <c r="D26" s="166">
        <f t="shared" si="0"/>
        <v>11.969206926178046</v>
      </c>
      <c r="E26" s="167">
        <f t="shared" si="1"/>
        <v>-1331993.93</v>
      </c>
    </row>
    <row r="27" spans="1:5" ht="15.75" customHeight="1">
      <c r="A27" s="17" t="s">
        <v>46</v>
      </c>
      <c r="B27" s="24">
        <v>2033700</v>
      </c>
      <c r="C27" s="24">
        <v>355300</v>
      </c>
      <c r="D27" s="26">
        <f t="shared" si="0"/>
        <v>17.47062005212175</v>
      </c>
      <c r="E27" s="49">
        <f t="shared" si="1"/>
        <v>-1678400</v>
      </c>
    </row>
    <row r="28" spans="1:5" ht="16.5" customHeight="1">
      <c r="A28" s="16" t="s">
        <v>63</v>
      </c>
      <c r="B28" s="25">
        <v>0</v>
      </c>
      <c r="C28" s="27">
        <v>0</v>
      </c>
      <c r="D28" s="26" t="str">
        <f t="shared" si="0"/>
        <v>   </v>
      </c>
      <c r="E28" s="49">
        <f t="shared" si="1"/>
        <v>0</v>
      </c>
    </row>
    <row r="29" spans="1:5" ht="28.5" customHeight="1">
      <c r="A29" s="200" t="s">
        <v>67</v>
      </c>
      <c r="B29" s="201">
        <v>125700</v>
      </c>
      <c r="C29" s="201">
        <v>20900</v>
      </c>
      <c r="D29" s="202">
        <f t="shared" si="0"/>
        <v>16.626889419252187</v>
      </c>
      <c r="E29" s="203">
        <f t="shared" si="1"/>
        <v>-104800</v>
      </c>
    </row>
    <row r="30" spans="1:5" ht="27" customHeight="1">
      <c r="A30" s="16" t="s">
        <v>68</v>
      </c>
      <c r="B30" s="25">
        <v>100</v>
      </c>
      <c r="C30" s="27">
        <v>0</v>
      </c>
      <c r="D30" s="26">
        <f t="shared" si="0"/>
        <v>0</v>
      </c>
      <c r="E30" s="49">
        <f t="shared" si="1"/>
        <v>-100</v>
      </c>
    </row>
    <row r="31" spans="1:5" ht="41.25" customHeight="1">
      <c r="A31" s="16" t="s">
        <v>108</v>
      </c>
      <c r="B31" s="25">
        <v>0</v>
      </c>
      <c r="C31" s="27">
        <v>0</v>
      </c>
      <c r="D31" s="26" t="str">
        <f t="shared" si="0"/>
        <v>   </v>
      </c>
      <c r="E31" s="49">
        <f t="shared" si="1"/>
        <v>0</v>
      </c>
    </row>
    <row r="32" spans="1:5" ht="41.25" customHeight="1">
      <c r="A32" s="16" t="s">
        <v>259</v>
      </c>
      <c r="B32" s="25">
        <v>0</v>
      </c>
      <c r="C32" s="27">
        <v>0</v>
      </c>
      <c r="D32" s="26" t="str">
        <f t="shared" si="0"/>
        <v>   </v>
      </c>
      <c r="E32" s="49">
        <f t="shared" si="1"/>
        <v>0</v>
      </c>
    </row>
    <row r="33" spans="1:5" ht="29.25" customHeight="1">
      <c r="A33" s="16" t="s">
        <v>170</v>
      </c>
      <c r="B33" s="25">
        <v>0</v>
      </c>
      <c r="C33" s="25">
        <v>0</v>
      </c>
      <c r="D33" s="26" t="str">
        <f t="shared" si="0"/>
        <v>   </v>
      </c>
      <c r="E33" s="49">
        <f t="shared" si="1"/>
        <v>0</v>
      </c>
    </row>
    <row r="34" spans="1:5" ht="12.75" customHeight="1">
      <c r="A34" s="16" t="s">
        <v>75</v>
      </c>
      <c r="B34" s="25">
        <v>230300</v>
      </c>
      <c r="C34" s="25">
        <v>0</v>
      </c>
      <c r="D34" s="26">
        <f t="shared" si="0"/>
        <v>0</v>
      </c>
      <c r="E34" s="49">
        <f t="shared" si="1"/>
        <v>-230300</v>
      </c>
    </row>
    <row r="35" spans="1:5" ht="25.5" customHeight="1">
      <c r="A35" s="200" t="s">
        <v>149</v>
      </c>
      <c r="B35" s="201">
        <v>6600</v>
      </c>
      <c r="C35" s="201">
        <v>0</v>
      </c>
      <c r="D35" s="202">
        <f t="shared" si="0"/>
        <v>0</v>
      </c>
      <c r="E35" s="203">
        <f t="shared" si="1"/>
        <v>-6600</v>
      </c>
    </row>
    <row r="36" spans="1:5" ht="18" customHeight="1">
      <c r="A36" s="16" t="s">
        <v>72</v>
      </c>
      <c r="B36" s="193">
        <f>B37</f>
        <v>209000</v>
      </c>
      <c r="C36" s="193">
        <f>C37</f>
        <v>0</v>
      </c>
      <c r="D36" s="26">
        <f t="shared" si="0"/>
        <v>0</v>
      </c>
      <c r="E36" s="49">
        <f t="shared" si="1"/>
        <v>-209000</v>
      </c>
    </row>
    <row r="37" spans="1:5" s="7" customFormat="1" ht="14.25" customHeight="1">
      <c r="A37" s="16" t="s">
        <v>180</v>
      </c>
      <c r="B37" s="64">
        <v>209000</v>
      </c>
      <c r="C37" s="25">
        <v>0</v>
      </c>
      <c r="D37" s="64">
        <f t="shared" si="0"/>
        <v>0</v>
      </c>
      <c r="E37" s="43">
        <f t="shared" si="1"/>
        <v>-209000</v>
      </c>
    </row>
    <row r="38" spans="1:5" s="7" customFormat="1" ht="14.25" customHeight="1">
      <c r="A38" s="16" t="s">
        <v>266</v>
      </c>
      <c r="B38" s="64"/>
      <c r="C38" s="25"/>
      <c r="D38" s="64"/>
      <c r="E38" s="43"/>
    </row>
    <row r="39" spans="1:5" ht="39" customHeight="1">
      <c r="A39" s="16" t="s">
        <v>154</v>
      </c>
      <c r="B39" s="25">
        <v>0</v>
      </c>
      <c r="C39" s="25">
        <v>0</v>
      </c>
      <c r="D39" s="26" t="str">
        <f t="shared" si="0"/>
        <v>   </v>
      </c>
      <c r="E39" s="49">
        <f t="shared" si="1"/>
        <v>0</v>
      </c>
    </row>
    <row r="40" spans="1:5" ht="23.25" customHeight="1">
      <c r="A40" s="164" t="s">
        <v>14</v>
      </c>
      <c r="B40" s="168">
        <f>SUM(B26,B27,B28:B36,B39,)</f>
        <v>4118500</v>
      </c>
      <c r="C40" s="168">
        <f>SUM(C26,C27,C28:C36,C39,)</f>
        <v>557306.0700000001</v>
      </c>
      <c r="D40" s="166">
        <f t="shared" si="0"/>
        <v>13.531772975597914</v>
      </c>
      <c r="E40" s="167">
        <f t="shared" si="1"/>
        <v>-3561193.9299999997</v>
      </c>
    </row>
    <row r="41" spans="1:5" ht="12.75">
      <c r="A41" s="22" t="s">
        <v>15</v>
      </c>
      <c r="B41" s="51"/>
      <c r="C41" s="52"/>
      <c r="D41" s="26" t="str">
        <f t="shared" si="0"/>
        <v>   </v>
      </c>
      <c r="E41" s="49"/>
    </row>
    <row r="42" spans="1:5" ht="12.75">
      <c r="A42" s="16" t="s">
        <v>48</v>
      </c>
      <c r="B42" s="25">
        <v>755700</v>
      </c>
      <c r="C42" s="25">
        <v>105713.11</v>
      </c>
      <c r="D42" s="26">
        <f t="shared" si="0"/>
        <v>13.988766706364961</v>
      </c>
      <c r="E42" s="49">
        <f t="shared" si="1"/>
        <v>-649986.89</v>
      </c>
    </row>
    <row r="43" spans="1:5" ht="12.75" customHeight="1">
      <c r="A43" s="16" t="s">
        <v>49</v>
      </c>
      <c r="B43" s="25">
        <v>755200</v>
      </c>
      <c r="C43" s="25">
        <v>105713.11</v>
      </c>
      <c r="D43" s="26">
        <f t="shared" si="0"/>
        <v>13.998028336864406</v>
      </c>
      <c r="E43" s="49">
        <f t="shared" si="1"/>
        <v>-649486.89</v>
      </c>
    </row>
    <row r="44" spans="1:5" ht="12.75">
      <c r="A44" s="118" t="s">
        <v>208</v>
      </c>
      <c r="B44" s="25">
        <v>476900</v>
      </c>
      <c r="C44" s="28">
        <v>69094.86</v>
      </c>
      <c r="D44" s="26">
        <f t="shared" si="0"/>
        <v>14.488332983854058</v>
      </c>
      <c r="E44" s="49">
        <f t="shared" si="1"/>
        <v>-407805.14</v>
      </c>
    </row>
    <row r="45" spans="1:5" ht="12.75">
      <c r="A45" s="16" t="s">
        <v>181</v>
      </c>
      <c r="B45" s="25">
        <v>100</v>
      </c>
      <c r="C45" s="28">
        <v>0</v>
      </c>
      <c r="D45" s="26">
        <f t="shared" si="0"/>
        <v>0</v>
      </c>
      <c r="E45" s="49">
        <f t="shared" si="1"/>
        <v>-100</v>
      </c>
    </row>
    <row r="46" spans="1:5" ht="12.75">
      <c r="A46" s="16" t="s">
        <v>141</v>
      </c>
      <c r="B46" s="25">
        <v>500</v>
      </c>
      <c r="C46" s="27">
        <v>0</v>
      </c>
      <c r="D46" s="26">
        <f t="shared" si="0"/>
        <v>0</v>
      </c>
      <c r="E46" s="49">
        <f t="shared" si="1"/>
        <v>-500</v>
      </c>
    </row>
    <row r="47" spans="1:5" ht="12.75">
      <c r="A47" s="16" t="s">
        <v>69</v>
      </c>
      <c r="B47" s="193">
        <f>B48</f>
        <v>0</v>
      </c>
      <c r="C47" s="193">
        <f>C48</f>
        <v>0</v>
      </c>
      <c r="D47" s="26"/>
      <c r="E47" s="49"/>
    </row>
    <row r="48" spans="1:5" ht="25.5">
      <c r="A48" s="16" t="s">
        <v>85</v>
      </c>
      <c r="B48" s="25">
        <v>0</v>
      </c>
      <c r="C48" s="27">
        <v>0</v>
      </c>
      <c r="D48" s="26"/>
      <c r="E48" s="49"/>
    </row>
    <row r="49" spans="1:5" ht="12.75">
      <c r="A49" s="16" t="s">
        <v>65</v>
      </c>
      <c r="B49" s="194">
        <f>SUM(B50)</f>
        <v>125700</v>
      </c>
      <c r="C49" s="194">
        <f>SUM(C50)</f>
        <v>9721.14</v>
      </c>
      <c r="D49" s="26">
        <f t="shared" si="0"/>
        <v>7.733603818615752</v>
      </c>
      <c r="E49" s="49">
        <f t="shared" si="1"/>
        <v>-115978.86</v>
      </c>
    </row>
    <row r="50" spans="1:5" ht="12" customHeight="1">
      <c r="A50" s="16" t="s">
        <v>176</v>
      </c>
      <c r="B50" s="25">
        <v>125700</v>
      </c>
      <c r="C50" s="27">
        <v>9721.14</v>
      </c>
      <c r="D50" s="26">
        <f t="shared" si="0"/>
        <v>7.733603818615752</v>
      </c>
      <c r="E50" s="49">
        <f t="shared" si="1"/>
        <v>-115978.86</v>
      </c>
    </row>
    <row r="51" spans="1:5" ht="12.75">
      <c r="A51" s="16" t="s">
        <v>50</v>
      </c>
      <c r="B51" s="193">
        <f>SUM(B52)</f>
        <v>1200</v>
      </c>
      <c r="C51" s="194">
        <f>SUM(C52)</f>
        <v>0</v>
      </c>
      <c r="D51" s="26">
        <f t="shared" si="0"/>
        <v>0</v>
      </c>
      <c r="E51" s="49">
        <f t="shared" si="1"/>
        <v>-1200</v>
      </c>
    </row>
    <row r="52" spans="1:5" ht="12.75" customHeight="1">
      <c r="A52" s="47" t="s">
        <v>129</v>
      </c>
      <c r="B52" s="25">
        <v>1200</v>
      </c>
      <c r="C52" s="27">
        <v>0</v>
      </c>
      <c r="D52" s="26">
        <f t="shared" si="0"/>
        <v>0</v>
      </c>
      <c r="E52" s="49">
        <f t="shared" si="1"/>
        <v>-1200</v>
      </c>
    </row>
    <row r="53" spans="1:5" ht="15.75" customHeight="1">
      <c r="A53" s="16" t="s">
        <v>51</v>
      </c>
      <c r="B53" s="27">
        <f>B54</f>
        <v>359000</v>
      </c>
      <c r="C53" s="27">
        <f>C54</f>
        <v>0</v>
      </c>
      <c r="D53" s="26">
        <f t="shared" si="0"/>
        <v>0</v>
      </c>
      <c r="E53" s="49">
        <f t="shared" si="1"/>
        <v>-359000</v>
      </c>
    </row>
    <row r="54" spans="1:5" ht="15.75" customHeight="1">
      <c r="A54" s="145" t="s">
        <v>287</v>
      </c>
      <c r="B54" s="175">
        <f>B55+B56</f>
        <v>359000</v>
      </c>
      <c r="C54" s="27">
        <f>C55+C56</f>
        <v>0</v>
      </c>
      <c r="D54" s="26"/>
      <c r="E54" s="49"/>
    </row>
    <row r="55" spans="1:5" ht="32.25" customHeight="1">
      <c r="A55" s="91" t="s">
        <v>288</v>
      </c>
      <c r="B55" s="179">
        <v>209000</v>
      </c>
      <c r="C55" s="27">
        <v>0</v>
      </c>
      <c r="D55" s="26"/>
      <c r="E55" s="49"/>
    </row>
    <row r="56" spans="1:5" ht="36.75" customHeight="1">
      <c r="A56" s="91" t="s">
        <v>289</v>
      </c>
      <c r="B56" s="171">
        <v>150000</v>
      </c>
      <c r="C56" s="27">
        <v>0</v>
      </c>
      <c r="D56" s="26"/>
      <c r="E56" s="49"/>
    </row>
    <row r="57" spans="1:5" ht="26.25" customHeight="1">
      <c r="A57" s="16" t="s">
        <v>16</v>
      </c>
      <c r="B57" s="193">
        <f>SUM(B58,B60,B61,)</f>
        <v>355200</v>
      </c>
      <c r="C57" s="193">
        <f>SUM(C58,C60,C61,)</f>
        <v>68000</v>
      </c>
      <c r="D57" s="26">
        <f t="shared" si="0"/>
        <v>19.144144144144143</v>
      </c>
      <c r="E57" s="49">
        <f t="shared" si="1"/>
        <v>-287200</v>
      </c>
    </row>
    <row r="58" spans="1:5" ht="12.75">
      <c r="A58" s="16" t="s">
        <v>17</v>
      </c>
      <c r="B58" s="193">
        <f>SUM(B59:B59)</f>
        <v>192000</v>
      </c>
      <c r="C58" s="193">
        <f>SUM(C59:C59)</f>
        <v>0</v>
      </c>
      <c r="D58" s="26">
        <f t="shared" si="0"/>
        <v>0</v>
      </c>
      <c r="E58" s="49">
        <f t="shared" si="1"/>
        <v>-192000</v>
      </c>
    </row>
    <row r="59" spans="1:5" ht="15.75" customHeight="1">
      <c r="A59" s="16" t="s">
        <v>144</v>
      </c>
      <c r="B59" s="25">
        <v>192000</v>
      </c>
      <c r="C59" s="27">
        <v>0</v>
      </c>
      <c r="D59" s="26">
        <f t="shared" si="0"/>
        <v>0</v>
      </c>
      <c r="E59" s="49">
        <f t="shared" si="1"/>
        <v>-192000</v>
      </c>
    </row>
    <row r="60" spans="1:5" ht="12.75">
      <c r="A60" s="16" t="s">
        <v>130</v>
      </c>
      <c r="B60" s="25">
        <v>0</v>
      </c>
      <c r="C60" s="27">
        <v>0</v>
      </c>
      <c r="D60" s="26" t="str">
        <f t="shared" si="0"/>
        <v>   </v>
      </c>
      <c r="E60" s="49">
        <f t="shared" si="1"/>
        <v>0</v>
      </c>
    </row>
    <row r="61" spans="1:5" ht="12.75">
      <c r="A61" s="16" t="s">
        <v>92</v>
      </c>
      <c r="B61" s="25">
        <v>163200</v>
      </c>
      <c r="C61" s="25">
        <v>68000</v>
      </c>
      <c r="D61" s="26">
        <f t="shared" si="0"/>
        <v>41.66666666666667</v>
      </c>
      <c r="E61" s="49">
        <f t="shared" si="1"/>
        <v>-95200</v>
      </c>
    </row>
    <row r="62" spans="1:5" ht="12.75">
      <c r="A62" s="16" t="s">
        <v>77</v>
      </c>
      <c r="B62" s="25">
        <v>163200</v>
      </c>
      <c r="C62" s="27">
        <v>68000</v>
      </c>
      <c r="D62" s="26">
        <f t="shared" si="0"/>
        <v>41.66666666666667</v>
      </c>
      <c r="E62" s="49">
        <f t="shared" si="1"/>
        <v>-95200</v>
      </c>
    </row>
    <row r="63" spans="1:5" ht="12.75">
      <c r="A63" s="16" t="s">
        <v>78</v>
      </c>
      <c r="B63" s="25">
        <v>0</v>
      </c>
      <c r="C63" s="27">
        <v>0</v>
      </c>
      <c r="D63" s="26" t="str">
        <f t="shared" si="0"/>
        <v>   </v>
      </c>
      <c r="E63" s="49">
        <f t="shared" si="1"/>
        <v>0</v>
      </c>
    </row>
    <row r="64" spans="1:5" ht="15">
      <c r="A64" s="18" t="s">
        <v>24</v>
      </c>
      <c r="B64" s="31">
        <v>20000</v>
      </c>
      <c r="C64" s="31">
        <v>0</v>
      </c>
      <c r="D64" s="26">
        <f t="shared" si="0"/>
        <v>0</v>
      </c>
      <c r="E64" s="49">
        <f t="shared" si="1"/>
        <v>-20000</v>
      </c>
    </row>
    <row r="65" spans="1:5" ht="12.75">
      <c r="A65" s="16" t="s">
        <v>54</v>
      </c>
      <c r="B65" s="191">
        <f>SUM(B66,)</f>
        <v>2060000</v>
      </c>
      <c r="C65" s="191">
        <f>SUM(C66,)</f>
        <v>271000</v>
      </c>
      <c r="D65" s="26">
        <f t="shared" si="0"/>
        <v>13.155339805825243</v>
      </c>
      <c r="E65" s="49">
        <f t="shared" si="1"/>
        <v>-1789000</v>
      </c>
    </row>
    <row r="66" spans="1:5" ht="17.25" customHeight="1">
      <c r="A66" s="16" t="s">
        <v>55</v>
      </c>
      <c r="B66" s="25">
        <v>2060000</v>
      </c>
      <c r="C66" s="27">
        <v>271000</v>
      </c>
      <c r="D66" s="26">
        <f t="shared" si="0"/>
        <v>13.155339805825243</v>
      </c>
      <c r="E66" s="49">
        <f t="shared" si="1"/>
        <v>-1789000</v>
      </c>
    </row>
    <row r="67" spans="1:5" ht="15.75" customHeight="1">
      <c r="A67" s="118" t="s">
        <v>208</v>
      </c>
      <c r="B67" s="25">
        <v>0</v>
      </c>
      <c r="C67" s="27">
        <v>0</v>
      </c>
      <c r="D67" s="26" t="str">
        <f t="shared" si="0"/>
        <v>   </v>
      </c>
      <c r="E67" s="49">
        <f t="shared" si="1"/>
        <v>0</v>
      </c>
    </row>
    <row r="68" spans="1:5" ht="12.75">
      <c r="A68" s="16" t="s">
        <v>177</v>
      </c>
      <c r="B68" s="25">
        <v>6600</v>
      </c>
      <c r="C68" s="27">
        <v>0</v>
      </c>
      <c r="D68" s="26">
        <f t="shared" si="0"/>
        <v>0</v>
      </c>
      <c r="E68" s="49">
        <f t="shared" si="1"/>
        <v>-6600</v>
      </c>
    </row>
    <row r="69" spans="1:5" ht="12.75">
      <c r="A69" s="16" t="s">
        <v>215</v>
      </c>
      <c r="B69" s="193">
        <f>SUM(B70,)</f>
        <v>20000</v>
      </c>
      <c r="C69" s="193">
        <f>SUM(C70,)</f>
        <v>0</v>
      </c>
      <c r="D69" s="26">
        <f t="shared" si="0"/>
        <v>0</v>
      </c>
      <c r="E69" s="49">
        <f t="shared" si="1"/>
        <v>-20000</v>
      </c>
    </row>
    <row r="70" spans="1:5" ht="12.75" customHeight="1">
      <c r="A70" s="16" t="s">
        <v>56</v>
      </c>
      <c r="B70" s="25">
        <v>20000</v>
      </c>
      <c r="C70" s="28">
        <v>0</v>
      </c>
      <c r="D70" s="26">
        <f t="shared" si="0"/>
        <v>0</v>
      </c>
      <c r="E70" s="49">
        <f t="shared" si="1"/>
        <v>-20000</v>
      </c>
    </row>
    <row r="71" spans="1:5" ht="12.75">
      <c r="A71" s="16" t="s">
        <v>18</v>
      </c>
      <c r="B71" s="193">
        <f>B72</f>
        <v>421700</v>
      </c>
      <c r="C71" s="193">
        <f>C72</f>
        <v>0</v>
      </c>
      <c r="D71" s="26">
        <f t="shared" si="0"/>
        <v>0</v>
      </c>
      <c r="E71" s="49">
        <f t="shared" si="1"/>
        <v>-421700</v>
      </c>
    </row>
    <row r="72" spans="1:5" ht="12.75">
      <c r="A72" s="16" t="s">
        <v>224</v>
      </c>
      <c r="B72" s="193">
        <f>SUM(B93,B86,B77,B73,B98)</f>
        <v>421700</v>
      </c>
      <c r="C72" s="193">
        <f>SUM(C93,C86,C77,C73+C98)</f>
        <v>0</v>
      </c>
      <c r="D72" s="26"/>
      <c r="E72" s="49"/>
    </row>
    <row r="73" spans="1:5" ht="12.75">
      <c r="A73" s="119" t="s">
        <v>152</v>
      </c>
      <c r="B73" s="120">
        <v>0</v>
      </c>
      <c r="C73" s="120">
        <v>0</v>
      </c>
      <c r="D73" s="26" t="str">
        <f t="shared" si="0"/>
        <v>   </v>
      </c>
      <c r="E73" s="49">
        <f t="shared" si="1"/>
        <v>0</v>
      </c>
    </row>
    <row r="74" spans="1:5" ht="12.75">
      <c r="A74" s="16" t="s">
        <v>168</v>
      </c>
      <c r="B74" s="193">
        <f>B75+B76</f>
        <v>0</v>
      </c>
      <c r="C74" s="193">
        <f>C75+C76</f>
        <v>0</v>
      </c>
      <c r="D74" s="26" t="str">
        <f t="shared" si="0"/>
        <v>   </v>
      </c>
      <c r="E74" s="49">
        <f t="shared" si="1"/>
        <v>0</v>
      </c>
    </row>
    <row r="75" spans="1:5" ht="12.75">
      <c r="A75" s="16" t="s">
        <v>100</v>
      </c>
      <c r="B75" s="25">
        <v>0</v>
      </c>
      <c r="C75" s="25">
        <v>0</v>
      </c>
      <c r="D75" s="26" t="str">
        <f>IF(B75=0,"   ",C75/B75*100)</f>
        <v>   </v>
      </c>
      <c r="E75" s="49">
        <f t="shared" si="1"/>
        <v>0</v>
      </c>
    </row>
    <row r="76" spans="1:5" ht="12.75">
      <c r="A76" s="16" t="s">
        <v>112</v>
      </c>
      <c r="B76" s="25">
        <v>0</v>
      </c>
      <c r="C76" s="25">
        <v>0</v>
      </c>
      <c r="D76" s="26" t="str">
        <f>IF(B76=0,"   ",C76/B76*100)</f>
        <v>   </v>
      </c>
      <c r="E76" s="49">
        <f t="shared" si="1"/>
        <v>0</v>
      </c>
    </row>
    <row r="77" spans="1:5" ht="12.75">
      <c r="A77" s="119" t="s">
        <v>254</v>
      </c>
      <c r="B77" s="198">
        <f>SUM(B78,B82)</f>
        <v>0</v>
      </c>
      <c r="C77" s="198">
        <f>SUM(C78,C82)</f>
        <v>0</v>
      </c>
      <c r="D77" s="26" t="str">
        <f>IF(B77=0,"   ",C77/B77*100)</f>
        <v>   </v>
      </c>
      <c r="E77" s="49">
        <f t="shared" si="1"/>
        <v>0</v>
      </c>
    </row>
    <row r="78" spans="1:5" ht="25.5">
      <c r="A78" s="16" t="s">
        <v>227</v>
      </c>
      <c r="B78" s="193">
        <f>SUM(B79:B81)</f>
        <v>0</v>
      </c>
      <c r="C78" s="193">
        <f>SUM(C79:C81)</f>
        <v>0</v>
      </c>
      <c r="D78" s="26" t="str">
        <f>IF(B78=0,"   ",C78/B78*100)</f>
        <v>   </v>
      </c>
      <c r="E78" s="49">
        <f>C78-B78</f>
        <v>0</v>
      </c>
    </row>
    <row r="79" spans="1:5" ht="18" customHeight="1">
      <c r="A79" s="47" t="s">
        <v>234</v>
      </c>
      <c r="B79" s="25">
        <v>0</v>
      </c>
      <c r="C79" s="27"/>
      <c r="D79" s="26" t="str">
        <f aca="true" t="shared" si="2" ref="D79:D98">IF(B79=0,"   ",C79/B79*100)</f>
        <v>   </v>
      </c>
      <c r="E79" s="49">
        <f aca="true" t="shared" si="3" ref="E79:E98">C79-B79</f>
        <v>0</v>
      </c>
    </row>
    <row r="80" spans="1:5" ht="13.5" customHeight="1">
      <c r="A80" s="47" t="s">
        <v>235</v>
      </c>
      <c r="B80" s="25">
        <v>0</v>
      </c>
      <c r="C80" s="27"/>
      <c r="D80" s="26" t="str">
        <f t="shared" si="2"/>
        <v>   </v>
      </c>
      <c r="E80" s="49">
        <f t="shared" si="3"/>
        <v>0</v>
      </c>
    </row>
    <row r="81" spans="1:5" ht="13.5" customHeight="1">
      <c r="A81" s="47" t="s">
        <v>236</v>
      </c>
      <c r="B81" s="25">
        <v>0</v>
      </c>
      <c r="C81" s="27"/>
      <c r="D81" s="26" t="str">
        <f t="shared" si="2"/>
        <v>   </v>
      </c>
      <c r="E81" s="49">
        <f t="shared" si="3"/>
        <v>0</v>
      </c>
    </row>
    <row r="82" spans="1:5" ht="13.5" customHeight="1">
      <c r="A82" s="16" t="s">
        <v>226</v>
      </c>
      <c r="B82" s="193">
        <f>SUM(B83:B85)</f>
        <v>0</v>
      </c>
      <c r="C82" s="193">
        <f>SUM(C83:C85)</f>
        <v>0</v>
      </c>
      <c r="D82" s="26" t="str">
        <f t="shared" si="2"/>
        <v>   </v>
      </c>
      <c r="E82" s="49">
        <f t="shared" si="3"/>
        <v>0</v>
      </c>
    </row>
    <row r="83" spans="1:5" ht="13.5" customHeight="1">
      <c r="A83" s="47" t="s">
        <v>234</v>
      </c>
      <c r="B83" s="25">
        <v>0</v>
      </c>
      <c r="C83" s="27"/>
      <c r="D83" s="26" t="str">
        <f t="shared" si="2"/>
        <v>   </v>
      </c>
      <c r="E83" s="49">
        <f t="shared" si="3"/>
        <v>0</v>
      </c>
    </row>
    <row r="84" spans="1:5" ht="16.5" customHeight="1">
      <c r="A84" s="47" t="s">
        <v>235</v>
      </c>
      <c r="B84" s="25">
        <v>0</v>
      </c>
      <c r="C84" s="27"/>
      <c r="D84" s="26" t="str">
        <f t="shared" si="2"/>
        <v>   </v>
      </c>
      <c r="E84" s="49">
        <f t="shared" si="3"/>
        <v>0</v>
      </c>
    </row>
    <row r="85" spans="1:5" ht="16.5" customHeight="1">
      <c r="A85" s="47" t="s">
        <v>236</v>
      </c>
      <c r="B85" s="25">
        <v>0</v>
      </c>
      <c r="C85" s="27"/>
      <c r="D85" s="26" t="str">
        <f t="shared" si="2"/>
        <v>   </v>
      </c>
      <c r="E85" s="49">
        <f t="shared" si="3"/>
        <v>0</v>
      </c>
    </row>
    <row r="86" spans="1:5" ht="16.5" customHeight="1">
      <c r="A86" s="119" t="s">
        <v>255</v>
      </c>
      <c r="B86" s="198">
        <f>SUM(B87,B90)</f>
        <v>0</v>
      </c>
      <c r="C86" s="198">
        <f>SUM(C87,C90)</f>
        <v>0</v>
      </c>
      <c r="D86" s="26" t="str">
        <f t="shared" si="2"/>
        <v>   </v>
      </c>
      <c r="E86" s="49">
        <f t="shared" si="3"/>
        <v>0</v>
      </c>
    </row>
    <row r="87" spans="1:5" ht="16.5" customHeight="1">
      <c r="A87" s="16" t="s">
        <v>227</v>
      </c>
      <c r="B87" s="193">
        <f>SUM(B88:B89)</f>
        <v>0</v>
      </c>
      <c r="C87" s="193">
        <f>SUM(C88:C89)</f>
        <v>0</v>
      </c>
      <c r="D87" s="26" t="str">
        <f t="shared" si="2"/>
        <v>   </v>
      </c>
      <c r="E87" s="49">
        <f t="shared" si="3"/>
        <v>0</v>
      </c>
    </row>
    <row r="88" spans="1:5" ht="12.75">
      <c r="A88" s="47" t="s">
        <v>235</v>
      </c>
      <c r="B88" s="25">
        <v>0</v>
      </c>
      <c r="C88" s="27"/>
      <c r="D88" s="26" t="str">
        <f t="shared" si="2"/>
        <v>   </v>
      </c>
      <c r="E88" s="49">
        <f t="shared" si="3"/>
        <v>0</v>
      </c>
    </row>
    <row r="89" spans="1:5" ht="12.75">
      <c r="A89" s="47" t="s">
        <v>236</v>
      </c>
      <c r="B89" s="25">
        <v>0</v>
      </c>
      <c r="C89" s="27"/>
      <c r="D89" s="26" t="str">
        <f t="shared" si="2"/>
        <v>   </v>
      </c>
      <c r="E89" s="49">
        <f t="shared" si="3"/>
        <v>0</v>
      </c>
    </row>
    <row r="90" spans="1:5" ht="25.5">
      <c r="A90" s="16" t="s">
        <v>226</v>
      </c>
      <c r="B90" s="193">
        <f>SUM(B91:B92)</f>
        <v>0</v>
      </c>
      <c r="C90" s="25">
        <f>SUM(C91:C92)</f>
        <v>0</v>
      </c>
      <c r="D90" s="26" t="str">
        <f t="shared" si="2"/>
        <v>   </v>
      </c>
      <c r="E90" s="49">
        <f t="shared" si="3"/>
        <v>0</v>
      </c>
    </row>
    <row r="91" spans="1:5" ht="12.75">
      <c r="A91" s="47" t="s">
        <v>235</v>
      </c>
      <c r="B91" s="25">
        <v>0</v>
      </c>
      <c r="C91" s="27"/>
      <c r="D91" s="26" t="str">
        <f t="shared" si="2"/>
        <v>   </v>
      </c>
      <c r="E91" s="49">
        <f t="shared" si="3"/>
        <v>0</v>
      </c>
    </row>
    <row r="92" spans="1:5" ht="12.75">
      <c r="A92" s="47" t="s">
        <v>236</v>
      </c>
      <c r="B92" s="25">
        <v>0</v>
      </c>
      <c r="C92" s="27"/>
      <c r="D92" s="26" t="str">
        <f t="shared" si="2"/>
        <v>   </v>
      </c>
      <c r="E92" s="49">
        <f t="shared" si="3"/>
        <v>0</v>
      </c>
    </row>
    <row r="93" spans="1:5" ht="12.75">
      <c r="A93" s="119" t="s">
        <v>233</v>
      </c>
      <c r="B93" s="198">
        <f>SUM(B94:B96)</f>
        <v>421700</v>
      </c>
      <c r="C93" s="198">
        <f>SUM(C94:C96)</f>
        <v>0</v>
      </c>
      <c r="D93" s="26">
        <f t="shared" si="2"/>
        <v>0</v>
      </c>
      <c r="E93" s="49">
        <f t="shared" si="3"/>
        <v>-421700</v>
      </c>
    </row>
    <row r="94" spans="1:5" ht="12.75">
      <c r="A94" s="47" t="s">
        <v>234</v>
      </c>
      <c r="B94" s="120">
        <v>0</v>
      </c>
      <c r="C94" s="120">
        <v>0</v>
      </c>
      <c r="D94" s="26" t="str">
        <f t="shared" si="2"/>
        <v>   </v>
      </c>
      <c r="E94" s="49">
        <f t="shared" si="3"/>
        <v>0</v>
      </c>
    </row>
    <row r="95" spans="1:5" ht="19.5" customHeight="1">
      <c r="A95" s="47" t="s">
        <v>235</v>
      </c>
      <c r="B95" s="120">
        <v>230300</v>
      </c>
      <c r="C95" s="120">
        <v>0</v>
      </c>
      <c r="D95" s="26">
        <f t="shared" si="2"/>
        <v>0</v>
      </c>
      <c r="E95" s="49">
        <f t="shared" si="3"/>
        <v>-230300</v>
      </c>
    </row>
    <row r="96" spans="1:5" ht="19.5" customHeight="1">
      <c r="A96" s="47" t="s">
        <v>236</v>
      </c>
      <c r="B96" s="116">
        <v>191400</v>
      </c>
      <c r="C96" s="120">
        <v>0</v>
      </c>
      <c r="D96" s="26">
        <f t="shared" si="2"/>
        <v>0</v>
      </c>
      <c r="E96" s="49">
        <f t="shared" si="3"/>
        <v>-191400</v>
      </c>
    </row>
    <row r="97" spans="1:5" ht="19.5" customHeight="1">
      <c r="A97" s="47" t="s">
        <v>267</v>
      </c>
      <c r="B97" s="116">
        <v>0</v>
      </c>
      <c r="C97" s="120">
        <v>0</v>
      </c>
      <c r="D97" s="26" t="str">
        <f t="shared" si="2"/>
        <v>   </v>
      </c>
      <c r="E97" s="49">
        <f t="shared" si="3"/>
        <v>0</v>
      </c>
    </row>
    <row r="98" spans="1:5" ht="40.5" customHeight="1">
      <c r="A98" s="47" t="s">
        <v>253</v>
      </c>
      <c r="B98" s="116">
        <v>0</v>
      </c>
      <c r="C98" s="120">
        <v>0</v>
      </c>
      <c r="D98" s="26" t="str">
        <f t="shared" si="2"/>
        <v>   </v>
      </c>
      <c r="E98" s="49">
        <f t="shared" si="3"/>
        <v>0</v>
      </c>
    </row>
    <row r="99" spans="1:5" ht="19.5" customHeight="1">
      <c r="A99" s="164" t="s">
        <v>19</v>
      </c>
      <c r="B99" s="168">
        <f>SUM(B42,B49,B51,B53,B57,B64,B65,B69,B71,+B97)</f>
        <v>4118500</v>
      </c>
      <c r="C99" s="168">
        <f>SUM(C42,C49,C51,C53,C57,C64,C65,C69,C71,)</f>
        <v>454434.25</v>
      </c>
      <c r="D99" s="166">
        <f>IF(B99=0,"   ",C99/B99*100)</f>
        <v>11.033974748087896</v>
      </c>
      <c r="E99" s="167">
        <f t="shared" si="1"/>
        <v>-3664065.75</v>
      </c>
    </row>
    <row r="100" spans="1:5" ht="19.5" customHeight="1" thickBot="1">
      <c r="A100" s="98" t="s">
        <v>211</v>
      </c>
      <c r="B100" s="212">
        <f>B44+B67</f>
        <v>476900</v>
      </c>
      <c r="C100" s="212">
        <f>C44+C67</f>
        <v>69094.86</v>
      </c>
      <c r="D100" s="99">
        <f>IF(B100=0,"   ",C100/B100*100)</f>
        <v>14.488332983854058</v>
      </c>
      <c r="E100" s="100">
        <f t="shared" si="1"/>
        <v>-407805.14</v>
      </c>
    </row>
    <row r="101" spans="1:5" s="76" customFormat="1" ht="23.25" customHeight="1">
      <c r="A101" s="110" t="s">
        <v>251</v>
      </c>
      <c r="B101" s="110"/>
      <c r="C101" s="250"/>
      <c r="D101" s="250"/>
      <c r="E101" s="250"/>
    </row>
    <row r="102" spans="1:5" s="76" customFormat="1" ht="12" customHeight="1">
      <c r="A102" s="110" t="s">
        <v>250</v>
      </c>
      <c r="B102" s="110"/>
      <c r="C102" s="111" t="s">
        <v>252</v>
      </c>
      <c r="D102" s="112"/>
      <c r="E102" s="113"/>
    </row>
    <row r="103" spans="1:5" ht="15" customHeight="1">
      <c r="A103" s="7"/>
      <c r="B103" s="7"/>
      <c r="C103" s="6"/>
      <c r="D103" s="7"/>
      <c r="E103" s="2"/>
    </row>
    <row r="104" spans="1:5" ht="12" customHeight="1">
      <c r="A104" s="65"/>
      <c r="B104" s="65"/>
      <c r="C104" s="66"/>
      <c r="D104" s="67"/>
      <c r="E104" s="68"/>
    </row>
    <row r="105" spans="1:5" ht="12.75">
      <c r="A105" s="7"/>
      <c r="B105" s="7"/>
      <c r="C105" s="6"/>
      <c r="D105" s="7"/>
      <c r="E105" s="2"/>
    </row>
    <row r="106" spans="1:5" ht="12.75">
      <c r="A106" s="7"/>
      <c r="B106" s="7"/>
      <c r="C106" s="6"/>
      <c r="D106" s="7"/>
      <c r="E106" s="2"/>
    </row>
    <row r="107" spans="1:5" ht="12.75">
      <c r="A107" s="7"/>
      <c r="B107" s="7"/>
      <c r="C107" s="6"/>
      <c r="D107" s="7"/>
      <c r="E107" s="2"/>
    </row>
    <row r="108" spans="1:5" ht="12.75">
      <c r="A108" s="7"/>
      <c r="B108" s="7"/>
      <c r="C108" s="6"/>
      <c r="D108" s="7"/>
      <c r="E108" s="2"/>
    </row>
  </sheetData>
  <mergeCells count="2">
    <mergeCell ref="A1:E1"/>
    <mergeCell ref="C101:E101"/>
  </mergeCells>
  <printOptions/>
  <pageMargins left="0.7874015748031497" right="0.7874015748031497" top="0.5118110236220472" bottom="0.472440944881889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Аля</cp:lastModifiedBy>
  <cp:lastPrinted>2012-03-05T06:24:28Z</cp:lastPrinted>
  <dcterms:created xsi:type="dcterms:W3CDTF">2001-03-21T05:21:19Z</dcterms:created>
  <dcterms:modified xsi:type="dcterms:W3CDTF">2012-03-05T10:00:23Z</dcterms:modified>
  <cp:category/>
  <cp:version/>
  <cp:contentType/>
  <cp:contentStatus/>
</cp:coreProperties>
</file>