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'Лист1'!$A$1:$E$124</definedName>
  </definedNames>
  <calcPr fullCalcOnLoad="1"/>
</workbook>
</file>

<file path=xl/sharedStrings.xml><?xml version="1.0" encoding="utf-8"?>
<sst xmlns="http://schemas.openxmlformats.org/spreadsheetml/2006/main" count="1096" uniqueCount="320">
  <si>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</si>
  <si>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</si>
  <si>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</si>
  <si>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</si>
  <si>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</si>
  <si>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</si>
  <si>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</si>
  <si>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</si>
  <si>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</si>
  <si>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</si>
  <si>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Земельный налог</t>
  </si>
  <si>
    <t>ИТОГО СОБСТВЕННЫХ ДОХОДОВ</t>
  </si>
  <si>
    <t>ОТ ГОС. ЦЕЛЕВЫХ БЮДЖЕТНЫХ ФОНДОВ</t>
  </si>
  <si>
    <t>Фонд борьбы с преступностью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</si>
  <si>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</si>
  <si>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</si>
  <si>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</si>
  <si>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</si>
  <si>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СОЦИАЛЬНАЯ ПОЛИТИКА</t>
  </si>
  <si>
    <t>ВСЕГО РАСХОДОВ</t>
  </si>
  <si>
    <t>НЕНАЛОГОВЫЕ ДОХОДЫ - всего</t>
  </si>
  <si>
    <t>АДМИНИСТРАТИВНЫЕ ПЛАТЕЖИ И СБОРЫ</t>
  </si>
  <si>
    <t>ШТРАФНЫЕ САНКЦИИ, ВОЗМЕЩЕНИЕ УЩЕРБА</t>
  </si>
  <si>
    <t>ДОХОДЫ ОТ ПРЕДПРИНИМАТЕЛЬСКОЙ И ИНОЙ, ПРИНОСЯЩЕЙ ДОХОД  ДЕЯТЕЛЬНОСТИ</t>
  </si>
  <si>
    <t>ОХРАНА ОКРУЖАЮЩЕЙ СРЕДЫ</t>
  </si>
  <si>
    <t xml:space="preserve">           капремонт    </t>
  </si>
  <si>
    <t>СУБВЕНЦИИ</t>
  </si>
  <si>
    <t>ТРАНСФЕРТ</t>
  </si>
  <si>
    <t>Поступления от продажи имущества,находящегося в муниципальной собственности</t>
  </si>
  <si>
    <t>Доходы от использования лесного фонда</t>
  </si>
  <si>
    <t>Прочие неналоговые доходы</t>
  </si>
  <si>
    <t>Доходы от продажи оборудования,транспортных средств и др,матер,ценностей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</si>
  <si>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</si>
  <si>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</si>
  <si>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</si>
  <si>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</si>
  <si>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>Бюджетная ссуда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</si>
  <si>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</si>
  <si>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</si>
  <si>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</si>
  <si>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</si>
  <si>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</si>
  <si>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</si>
  <si>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</si>
  <si>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</si>
  <si>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</si>
  <si>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</si>
  <si>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ДОХОДЫ ОТ ПРЕДПРИНИМАТЕЛЬСКОЙ И ИНОЙ ПРИНОСЯЩЕЙ ДОХОД ДЕЯТЕЛЬНОСТИ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</si>
  <si>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</si>
  <si>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</si>
  <si>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</si>
  <si>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</si>
  <si>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</si>
  <si>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</si>
  <si>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</si>
  <si>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</si>
  <si>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</si>
  <si>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</si>
  <si>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</si>
  <si>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</si>
  <si>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</si>
  <si>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ДРУГИЕ ВОПРОСЫ В ОБЛАСТИ НАЦИОНАЛЬНОЙ ЭКОНОМИКИ</t>
  </si>
  <si>
    <t xml:space="preserve">     Кадастр и мониторинг</t>
  </si>
  <si>
    <t xml:space="preserve">      Транспорт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</si>
  <si>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</si>
  <si>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</si>
  <si>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</si>
  <si>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</si>
  <si>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</si>
  <si>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</si>
  <si>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СУБВЕНЦИИ  БЮДЖЕТАМ  ПОСЕЛЕНИЙ  НА  ВЫПОЛНЕНИЕ  ПЕРЕДАВАЕМЫХ  ПОЛНОМОЧИЙ  СУБЪЕКТОВ  РОССИЙСКОЙ  ФЕДЕРАЦИИ</t>
  </si>
  <si>
    <t>Другие общегосударственные вопросы</t>
  </si>
  <si>
    <t>Другие общегосударственные  вопросы</t>
  </si>
  <si>
    <t>Другие вопросы в области национальной  экономики</t>
  </si>
  <si>
    <t>Мероприятия по землеустройству и землепользованию</t>
  </si>
  <si>
    <t>ПРОЧИЕ  СУБСИДИИ  БЮДЖЕТАМ ПОСЕЛЕНИЙ</t>
  </si>
  <si>
    <t>ПРОЧИЕ  СУБСИДИИ БЮДЖЕТАМ  ПОСЕЛЕНИЙ</t>
  </si>
  <si>
    <t>СУБСИДИИ БЮДЖЕТАМ ПОСЕЛЕНИЙ НА ОБЕСПЕЧЕНИЕ  ЖИЛЬЕМ  МОЛОДЫХ  СЕМЕЙ</t>
  </si>
  <si>
    <t>СУБСИДИИ БЮДЖЕТАМ ПОСЕЛЕНИЙ НА  ОБЕСПЕЧЕНИЕ  ЖИЛЬЕМ  МОЛОДЫХ  СЕМЕЙ</t>
  </si>
  <si>
    <t>СУБСИДИИ  БЮДЖЕТАМ  ПОСЕЛЕНИЙ  НА  ОБЕСПЕЧЕНИЕ ЖИЛЬЕМ   МОЛОДЫХ  СЕМЕЙ</t>
  </si>
  <si>
    <t>СУБСИДИИ БЮДЖЕТАМ ПОСЕЛЕНИЙ НА ОБЕСПЕЧЕНИЕ ЖИЛЬЕМ  МОЛОДЫХ  СЕМЕЙ</t>
  </si>
  <si>
    <t>СУБСИДИИ  БЮДЖЕТАМ  ПОСЕЛЕНИЙ  НА  ОБЕСПЕЧЕНИЕ ЖИЛЬЕМ  МОЛОДЫХ СЕМЕЙ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</si>
  <si>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</si>
  <si>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</si>
  <si>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</si>
  <si>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</si>
  <si>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</si>
  <si>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</si>
  <si>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</si>
  <si>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</si>
  <si>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из  них: оценка  недвижимости, признание прав и регулирование отношений по госуд.и муниц. собственн.</t>
  </si>
  <si>
    <t>в  том  числе :Коммунальное хозяйство</t>
  </si>
  <si>
    <t>из  них : дотация на покрытие убытков  ЖКХ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</si>
  <si>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</si>
  <si>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</si>
  <si>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</si>
  <si>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</si>
  <si>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</si>
  <si>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</si>
  <si>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</si>
  <si>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 xml:space="preserve">            мероприятия в области  коммунального  хозяйства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</si>
  <si>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</si>
  <si>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</si>
  <si>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</si>
  <si>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</si>
  <si>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 : за счет средств республиканского бюджета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</si>
  <si>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</si>
  <si>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</si>
  <si>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СУБСИДИИ  БЮДЖЕТАМ ПОСЕЛЕНИЙ НА  ОБЕСПЕЧЕНИЕ  ЖИЛЬЕМ   МОЛОДЫХ  СЕМЕЙ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</si>
  <si>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</si>
  <si>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</si>
  <si>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</si>
  <si>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</si>
  <si>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 ПОПЕЧИТЕЛЬСТВОМ), НЕ ИМЕЮЩИХ ЗАКРЕПЛЕННОГО ЖИЛОГО ПОМЕЩЕНИЯ</t>
  </si>
  <si>
    <t xml:space="preserve">ПРОЧИЕ  СУБСИДИИ  БЮДЖЕТАМ  ПОСЕЛЕНИЙ </t>
  </si>
  <si>
    <t>СУБСИДИИ  БЮДЖЕТАМ ПОСЕЛЕНИЙ НА  ОСУЩЕСТВЛЕНИЕ МЕРОПРИЯТИЙ ПО  ОБЕСПЕЧЕНИЮ  ЖИЛЬЕМ   ГРАЖДАН  РФ, ПРОЖИВАЮЩИХ  В СЕЛЬСКОЙ МЕСТНОСТИ</t>
  </si>
  <si>
    <t xml:space="preserve">Обеспеч. жилыми помещ.детей-сирот и детей,оставш.без попеч.родит.  </t>
  </si>
  <si>
    <t xml:space="preserve">                      за  счет  местного  бюджета</t>
  </si>
  <si>
    <t>ДОХОДЫ ОТ ОКАЗАНИЯ ПЛАТНЫХ УСЛУГ И КОМПЕНСАЦИИ ЗАТРАТ ГОСУДАРСТВА</t>
  </si>
  <si>
    <t>прочие  доходы от  оказания платных услуг  получателями средств бюджетов  поселений и компенсации затрат государства бюджетов поселений</t>
  </si>
  <si>
    <t>СУБСИДИИ НА ОБЕСПЕЧЕНИЕ ЖИЛЬЕМ  МОЛОДЫХ  СЕМЕЙ  И  МОЛОДЫХ  СПЕЦИАЛИСТОВ,ПРОЖИВАЮЩИХ И РАБОТАЮЩИХ В СЕЛЬСКОЙ МЕСТНОСТИ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</si>
  <si>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</si>
  <si>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</si>
  <si>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 сельскохозяйственных угодий, расположенных на территориях поселений</t>
  </si>
  <si>
    <t xml:space="preserve">            содержание  автомобильных  дорог  (респ.)</t>
  </si>
  <si>
    <t xml:space="preserve">            содержание  автомобильных  дорог  (посел.)</t>
  </si>
  <si>
    <t xml:space="preserve">            содержание  автомобильных  дорог (респ.)</t>
  </si>
  <si>
    <t xml:space="preserve">            содержание  автомобильных  дорог (посел.)</t>
  </si>
  <si>
    <t xml:space="preserve">            содержание автомобильных  дорог ( респ.)</t>
  </si>
  <si>
    <t xml:space="preserve">            содержание автомобильных  дорог ( посел.)</t>
  </si>
  <si>
    <t xml:space="preserve">            содержание автомобильных дорог ( респ.)</t>
  </si>
  <si>
    <t xml:space="preserve">            содержание автомобильных дорог ( посел.)</t>
  </si>
  <si>
    <t xml:space="preserve">           содержание автомобильных дорог (респ.)</t>
  </si>
  <si>
    <t xml:space="preserve">           содержание автомобильных дорог (посел.)</t>
  </si>
  <si>
    <t xml:space="preserve">            содержание автомобильных дорог (респ.)</t>
  </si>
  <si>
    <t xml:space="preserve">            содержание автомобильных дорог (посел.)</t>
  </si>
  <si>
    <t xml:space="preserve">            содержание автомобильных дорог  (респ.)</t>
  </si>
  <si>
    <t xml:space="preserve">            содержание автомобильных дорог  (посел.)</t>
  </si>
  <si>
    <t xml:space="preserve">           содержание автомобильных дорог ( посел.)</t>
  </si>
  <si>
    <t>СУБСИДИИ БЮДЖЕТАМ ПОСЕЛЕНИЙ НА ОБЕСПЕЧЕНИЕ  ЖИЛЬЕМ  МОЛОДЫХ  СЕМЕЙ   МОЛОДЫХ  СПЕЦИАЛИСТОВ, ПРОЖИВАЮЩИХ И РАБОТАЮЩИХ В СЕЛЬСКОЙ  МЕСТНОСТИ</t>
  </si>
  <si>
    <t>СУБСИДИИ НА ОБЕСПЕЧЕНИЕ  ЖИЛЬЕМ  МОЛОДЫХ СЕМЕЙ  И МОЛОДЫХ  СПЕЦИАЛИСТОВ, ПРОЖИВАЮЩИХ  И РАБОТАЮЩИХ В СЕЛЬСКОЙ МЕСТНОСТИ</t>
  </si>
  <si>
    <t>СУБСИДИИ НА ОСУЩЕСТВЛЕНИЕ  МЕРОПРИЯТИЙ ПО ОБЕСПЕЧЕНИЮ ЖИЛЬЕМ ГРАЖДАН РФ,ПРОЖИВАЮЩИХ  В СЕЛЬСКОЙ МЕСТНОСТИ</t>
  </si>
  <si>
    <t>СУБСИДИИ БЮДЖЕТАМ  ПОСЕЛЕНИЙ  НА ОСУЩЕСТВЛЕНИЕ МЕРОПРИЯТИЙ  ПО ОБЕСПЕЧЕНИЮ ЖИЛЬЕМ  ГРАЖДАН РФ,ПРОЖИВАЮЩИХ В СЕЛЬСКОЙ МЕСТНОСТИ</t>
  </si>
  <si>
    <t>в  том  числе :Жилищное хозяйство</t>
  </si>
  <si>
    <t>расходы на обеспечение малоимущих граждан</t>
  </si>
  <si>
    <t xml:space="preserve">           организация и содержание  мест  захоронения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</si>
  <si>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</si>
  <si>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</si>
  <si>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</si>
  <si>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</si>
  <si>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</si>
  <si>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Защита населения и территории от последствий  чрезвычайных ситуаций природного и техногенного  характера, гражданская оборона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</si>
  <si>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</si>
  <si>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</si>
  <si>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</si>
  <si>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СОЦИАЛЬНАЯ   ПОЛИТИКА</t>
  </si>
  <si>
    <t>ПРОЧИЕ МЕЖБЮДЖЕТНЫЕ ТРАНСФЕРТЫ,ПЕРЕДАВАЕМЫЕ БЮДЖЕТАМ ПОСЕЛЕНИЙ</t>
  </si>
  <si>
    <t>ВОЗВРАТ  ОСТАТКОВ СУБСИДИЙ И СУБВЕНЦИЙ ПРОШЛЫХ ЛЕТ</t>
  </si>
  <si>
    <t>в т.ч. оценка недвижимости, признание прав и регулирование отношений по госуд.и муниц. собств.</t>
  </si>
  <si>
    <t xml:space="preserve">           на расходы  по обесп.жильем малоимущ.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</si>
  <si>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</si>
  <si>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</si>
  <si>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 xml:space="preserve">        реализ.дополн. меропр.,направл.на снижение напряжен.на рынке труда</t>
  </si>
  <si>
    <t>на развитие улично-дорожной сети (респ.)</t>
  </si>
  <si>
    <t>СУБВЕНЦИИ БЮДЖЕТАМ ПОСЕЛЕНИЙ НА ВЫПОЛНЕНИЕ ПЕРЕДАВАЕМЫХ ПОЛНОМОЧИЙ СУБЪЕКТОВ  РОССИЙСКОЙ  ФЕДЕРАЦИИ</t>
  </si>
  <si>
    <t>0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</si>
  <si>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</si>
  <si>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</si>
  <si>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</si>
  <si>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</si>
  <si>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</si>
  <si>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</si>
  <si>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</si>
  <si>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</si>
  <si>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ПОСЕЛЕНИЙ НА КОМПЛЕКТОВАНИЕ  КНИЖНЫХ ФОНДОВ БИБЛИОТЕК МУНИЦИПАЛЬНЫХ ОБРАЗОВАНИЙ</t>
  </si>
  <si>
    <t>МЕЖБЮДЖЕТНЫЕ ТРАНСФЕРТЫ,ПЕРЕДАВАЕМЫЕ БЮДЖЕТАМ ПОСЕЛЕНИЙ  ДЛЯ КОМПЕНСАЦИИ  ДОПОЛНИТЕЛЬНЫХ РАСХОДОВ, ВОЗНИКШИХ В РЕЗУЛЬТАТЕ РЕШЕНИЙ, ПРИНЯТЫХ ОРГАНАМИ ВЛАСТИ ДРУГОГО УРОВНЯ</t>
  </si>
  <si>
    <t xml:space="preserve">          на развитие улично-дорожной сети сельских населенных пунктов</t>
  </si>
  <si>
    <t xml:space="preserve">Оказание материальной помощи  ( местн. бюджет)           </t>
  </si>
  <si>
    <t>Оказание  материальной  помощи</t>
  </si>
  <si>
    <t>СУБСИДИИ НА ОСУЩЕСТВЛЕНИЕ КАПИТАЛЬНОГО РЕМОНТА ОБЪЕКТОВ СОЦИАЛЬНО-КУЛЬТУРНОЙ СФЕРЫ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</si>
  <si>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</si>
  <si>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в том числе: за счет республ.бюдж.</t>
  </si>
  <si>
    <t>СУБСИДИИ  БЮДЖЕТАМ ПОСЕЛЕНИЙ НА ОСУЩЕСТВЛЕНИЕ КАПИТАЛЬНОГО РЕМОНТА ГИДРОТЕХНИЧЕСКИХ СООРУЖЕНИЙ, НАХОДЯЩИХСЯ В МУНИЦИПАЛЬНОЙ СОБСТВЕННОСТИ , И БЕСХОЗЯЙНЫХ ГИДРОТЕХНИЧЕСКИХ СООРУЖЕНИЙ</t>
  </si>
  <si>
    <t>Мероприятия по капитальному ремонту гидротехнических сооружений</t>
  </si>
  <si>
    <t>в том числе: за счет федерального бюджета</t>
  </si>
  <si>
    <t xml:space="preserve">                     за счет республиканского бюджета</t>
  </si>
  <si>
    <t xml:space="preserve">                     за  счет  местного бюджета</t>
  </si>
  <si>
    <t>Водные ресурсы</t>
  </si>
  <si>
    <t xml:space="preserve"> В том числе: мероприятия по капитальному ремонту гидротехнических сооружений</t>
  </si>
  <si>
    <t>ВОДНЫЕ РЕСУРСЫ</t>
  </si>
  <si>
    <t>из них: мероприятия в области коммунального хозяйства</t>
  </si>
  <si>
    <t xml:space="preserve">         проектные работы по очистным сооружениям</t>
  </si>
  <si>
    <t>ИТОГО  БЕЗВОЗМЕЗДНЫХ ПОСТУПЛЕНИЙ</t>
  </si>
  <si>
    <t xml:space="preserve">      Водные ресурсы</t>
  </si>
  <si>
    <t>в том числе: на разработку проекта  реконстр.плотины- респ.бюдж. (А-Баз. посел.)</t>
  </si>
  <si>
    <t>Cубсидии на обеспечение  жильем  молодых  семей  ( респ.бюдж. согл. Указа Презид. ЧР № 51)</t>
  </si>
  <si>
    <t>Возмещение потерь с/х пр-ва, связанных с изъятием  с/х угодий</t>
  </si>
  <si>
    <t>невыясненные поступления</t>
  </si>
  <si>
    <t>субсидии на обеспечение  жильем молодых семей ( по Указу Президента № 51)</t>
  </si>
  <si>
    <t>Cубсидии на обеспечение  жильем  молодых  семей  ( местн.бюдж. согл. Указа Презид. ЧР № 51)</t>
  </si>
  <si>
    <t>СУБСИДИИ НА ОСУЩЕСТВЛЕНИЕ МЕРОПРИЯТИЙ ПО ОБЕСПЕЧЕНИЮ ЖИЛЬЕМ ГРАЖДАН РФ, ПРОЖИВАЮЩИХ  В СЕЛЬСКОЙ МЕСТНОСТИ</t>
  </si>
  <si>
    <t xml:space="preserve">ПРОЧИЕ  СУБСИДИИ БЮДЖЕТАМ  ПОСЕЛЕНИЙ  </t>
  </si>
  <si>
    <t>расходы по осуществлению капитального ремонта объектов социально-культурной сферы</t>
  </si>
  <si>
    <t>в том числе респ. бюджет</t>
  </si>
  <si>
    <t>местн. бюджет</t>
  </si>
  <si>
    <t>в т. ч. на разработку проекта  реконстр. плотины (респ.)</t>
  </si>
  <si>
    <t>в том числе за счет средств респ. бюд.</t>
  </si>
  <si>
    <t>осуществление первичного воинского учета на территориях, где отсутствуют военные комиссариаты (фед.)</t>
  </si>
  <si>
    <t>комплектование книжных фондов библиотек (фед.)</t>
  </si>
  <si>
    <t>возмещение потерь с/х пр-ва, связанных с изъятием  с/х угодий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</si>
  <si>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</si>
  <si>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</si>
  <si>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            субв.по осущ.полном. по вед.учета граждан (респ.)</t>
  </si>
  <si>
    <t xml:space="preserve">прочие  неналоговые  доходы  бюджетов  поселений  </t>
  </si>
  <si>
    <t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(респ.)</t>
  </si>
  <si>
    <t xml:space="preserve">            субв.по осущ.полном. по вед.учета граждан (респ.),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</si>
  <si>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</si>
  <si>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</si>
  <si>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</si>
  <si>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</si>
  <si>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земельный налог</t>
  </si>
  <si>
    <t>СУБСИДИИ</t>
  </si>
  <si>
    <t>в том числе</t>
  </si>
  <si>
    <t>СУБСИДИИ  БЮДЖЕТАМ ПОСЕЛЕНИЙ НА ОСУЩЕСТВЛЕНИЕ КАПИТАЛЬНОГО РЕМОНТА ГИДРОТЕХНИЧЕСКИХ СООРУЖЕНИЙ, НАХОДЯЩИХСЯ В МУНИЦИПАЛЬНОЙ СОБСТВЕННОСТИ,, И БЕСХОЗЯЙНЫХ ГИДРОТЕХНИЧЕСКИХ СООРУЖЕНИЙ</t>
  </si>
  <si>
    <t>из них</t>
  </si>
  <si>
    <t>субсидии на поощрение победителей экономического соревнования между поселениями ЧР</t>
  </si>
  <si>
    <t>развитие улично-дорожной сети сельских населенных пунктов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</si>
  <si>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</si>
  <si>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субсидии местным бюджетам на софинансирование расходов бюджетов м/о по осуществлению капитального ремонта объектов социально-культурной сферы</t>
  </si>
  <si>
    <t>СУБВЕНЦИИ  БЮДЖЕТАМ  ПОСЕЛЕНИЙ  НА  ОБЕСПЕЧЕНИЕ 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</si>
  <si>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ИНЫЕ МЕЖБЮДЖЕТНЫЕ ТРАНСФЕРТЫ</t>
  </si>
  <si>
    <t xml:space="preserve">            расходы по осуществлению полномочий по ведению учета граждан , нуждающихся в жилых помещениях  за счет субвенций бюджетам поселений (респ.)</t>
  </si>
  <si>
    <t xml:space="preserve">                     за  счет  местного бюджета (разработка проекта реконструкции плотины)</t>
  </si>
  <si>
    <t>районный бюджет</t>
  </si>
  <si>
    <t xml:space="preserve">                     за счет район. бюдж.</t>
  </si>
  <si>
    <t>ремонт клуба (район. ср-ва)</t>
  </si>
  <si>
    <t>на развитие улично-дорожной сети (район.)</t>
  </si>
  <si>
    <t>Уточнен-ный план на 2011 год</t>
  </si>
  <si>
    <t>% исполне-ния к  годовому плану  на 2011 г.</t>
  </si>
  <si>
    <t>Отклонение от годового плана 2011 г ( +, - )</t>
  </si>
  <si>
    <t>Уточненный план на 2011 год</t>
  </si>
  <si>
    <t>% исполнения к  годовому плану 2011 г.</t>
  </si>
  <si>
    <t>Отклонение от годового  плана 2011 г    ( +, - )</t>
  </si>
  <si>
    <t>% исполнения к  годовому  плану 2011 г.</t>
  </si>
  <si>
    <t>Отклонение от годового  плана  2011 г.( +, - )</t>
  </si>
  <si>
    <t>Отклонение от годового  плана 2011 г ( +, - )</t>
  </si>
  <si>
    <t>% исполнения к  годовому плану  2011 г.</t>
  </si>
  <si>
    <t>Отклонение от годового плана  2011 г. ( +, - )</t>
  </si>
  <si>
    <t>% исполнения к годовому  плану  2011 г.</t>
  </si>
  <si>
    <t>Отклонение от годового  плана  2011 г  ( +, - )</t>
  </si>
  <si>
    <t>% исполнения к  годовому  плану  2011 г.</t>
  </si>
  <si>
    <t>Отклонение от  годового  плана   2011 г ( +, - )</t>
  </si>
  <si>
    <t>Отклонение от годового  плана  2011 г     ( +, - )</t>
  </si>
  <si>
    <t>Отклонение от  годового  плана  2011 г ( +, - )</t>
  </si>
  <si>
    <t>Уточненный план на 2011  год</t>
  </si>
  <si>
    <t>Отклонение от годового  плана  2011 г ( +, - )</t>
  </si>
  <si>
    <t>возврат остатков субсид. прошл. лет из бюджетов поселений</t>
  </si>
  <si>
    <t>ДОТАЦИИ БЮДЖЕТАМ ПОСЕЛЕНИЙ НА ПОДДЕРЖКУ МЕР ПО ОБЕСЕЧЕНИЮ СБАЛАНСИРОВАННОСТИ БЮДЖЕТОВ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</si>
  <si>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</si>
  <si>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</si>
  <si>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</si>
  <si>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</si>
  <si>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в том числе: заработная плата </t>
  </si>
  <si>
    <t xml:space="preserve"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</si>
  <si>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респ.</t>
  </si>
  <si>
    <t>бюджетные инвестиции в объекты капитального строительства гос. собственности субъектов РФ (объекты капитального строительства собственности муниципальных образований) (расходы на строительство водопровода по ул. Радужная г. Козловка) мест.</t>
  </si>
  <si>
    <t>ФИЗИЧЕСКАЯ КУЛЬТУРА И СПОРТ</t>
  </si>
  <si>
    <t xml:space="preserve">    физическая культура и спорт  </t>
  </si>
  <si>
    <t>СУБСИДИИ БЮДЖЕТАМ ПОСЕЛЕНИЙ НА СУЩЕСТВЛЕНИЕ МЕРОПРИЯТИЙ ПО ОБЕСПЕЧЕНИЮ ЖИЛЬЕМ ГРАЖДАН РФ, ПРОЖИВАЮЩИХ В СЕЛЬСКОЙ МЕСТНОСТИ</t>
  </si>
  <si>
    <t>доходы от реализации имущества</t>
  </si>
  <si>
    <t>СУБВЕНЦИИ БЮДЖЕТАМ ПОСЕЛЕНИЙ НА ОБЕСПЕЧЕНИЕ ЖИЛЫМИ ПОМЕЩЕНИЯМИ ДЕТЕЙ-СИРОТ,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</si>
  <si>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невыясненные поступления, зачисляемые в бюджеты поселений</t>
  </si>
  <si>
    <t>СУБВЕНЦИИ  БЮДЖЕТАМ  ПОСЕЛЕНИЙ  НА  ОБЕСПЕЧЕНИЕ  ЖИЛЫМИ ПОМЕЩЕНИЯМИ ДЕТЕЙ- СИРОТ, ДЕТЕЙ, ОСТАВШИХСЯ БЕЗ ПОПЕЧЕНИЯ РОДИТЕЛЕЙ, А ТАКЖЕ ДЕТЕЙ, НАХОДЯЩИХСЯ ПО ОПЕКОЙ (ПОПЕЧИТЕЛЬСТВОМ), НЕ ИМЕЮЩИХ ЗАКРЕПЛЕННОГО ЖИЛОГО ПОМЕЩЕНИЯ</t>
  </si>
  <si>
    <t>Социальное обеспечение населения</t>
  </si>
  <si>
    <t>ФЦП "Социальное развитие села до 2012 года"</t>
  </si>
  <si>
    <t>РЦП "Социальное развитие села в Чувашской Республике до 2012 года"</t>
  </si>
  <si>
    <t>социальное обеспечение населения</t>
  </si>
  <si>
    <t>Обеспеч. жильем молодых семей и молодых специалистов, прож. и работ. в сельской местности (фед. бюдж.)</t>
  </si>
  <si>
    <t>Субсидии на осуществление мероприятий по обеспечению жильем граждан РФ, проживающих в сельской местности</t>
  </si>
  <si>
    <t xml:space="preserve">Обеспеч. жильем молодых семей и молодых специалистов, прож. и работ. в сельской местности </t>
  </si>
  <si>
    <t xml:space="preserve">Обеспечение жильем молодых семей в рамках ФЦП "Жилище" на 2011-2015 годы </t>
  </si>
  <si>
    <t>субсидии на обеспечение  жильем молодых  семей и молодых специалистов, прожив.и работ. в сель.местности</t>
  </si>
  <si>
    <t xml:space="preserve">Обеспечение  жилыми  помещениями  детей-сирот, детей, оставшихся без попечения родителей, а также детей, находящихся под опекой (попечительством), не имеющих закрепленного  жилого помещения </t>
  </si>
  <si>
    <t>Обеспечение жильем молодых семей в рамках ФЦП "Жилище" на 2011-2015 годы</t>
  </si>
  <si>
    <t>меропр. в области  коммунального хозяйства</t>
  </si>
  <si>
    <t xml:space="preserve">субсидии на обеспеч.жильем  молодых  семей и  молодых  специалистов, проживающих и работающих в  сельской  местности </t>
  </si>
  <si>
    <t>обеспечение жильем молодых семей в рамках ФЦП "Жилище" на 2011-2015 годы</t>
  </si>
  <si>
    <t>в том числе: фед. бюдж.</t>
  </si>
  <si>
    <t xml:space="preserve">                    респ бюдж</t>
  </si>
  <si>
    <t xml:space="preserve">                    местн бюдж </t>
  </si>
  <si>
    <t>в том числе:  фед. бюджет</t>
  </si>
  <si>
    <t xml:space="preserve">                      местн. бюджет</t>
  </si>
  <si>
    <t xml:space="preserve">                      респ. бюджет</t>
  </si>
  <si>
    <t xml:space="preserve"> РЦП "Социальное развитие села в ЧР до 2012 года"                                          </t>
  </si>
  <si>
    <t xml:space="preserve"> ФЦП "Социальное развитие села до 2012 года"                                                       </t>
  </si>
  <si>
    <t xml:space="preserve">субсидии на обеспечение жильем молодых семей и специалистов, проживающих и работающих в сельской местности </t>
  </si>
  <si>
    <t xml:space="preserve">                     Обеспечение пожарной безопасности</t>
  </si>
  <si>
    <t xml:space="preserve">           расходы на переселение граждан  из ветхого жилья по РЦП "Переселение гражд. из ветх. и авар. жилфонда, расп. на терр. ЧР" на 2008-2011 г.г.</t>
  </si>
  <si>
    <t xml:space="preserve">Пособия по социальной помощи населению </t>
  </si>
  <si>
    <t>Обеспечение пожарной безопасности</t>
  </si>
  <si>
    <t xml:space="preserve">             содержание автомобильных дорог и инженерных  сооружений  на них (посел.)</t>
  </si>
  <si>
    <t>Реализация дополнительных мероприятий, направленных на снижение напряженности на рынке труда</t>
  </si>
  <si>
    <t>Анализ   исполнения   бюджетов   поселений   за  июнь 2011 года.</t>
  </si>
  <si>
    <t>Фактическое исполнение за июнь 2011 года</t>
  </si>
  <si>
    <t>Анализ исполнения бюджета  Янгильдинского сельского поселения за июнь 2011 года</t>
  </si>
  <si>
    <t>Анализ исполнения бюджета  Тюрлеминского сельского поселения за июнь 2011 года</t>
  </si>
  <si>
    <t>Анализ исполнения бюджета  Солдыбаевского сельского поселения за июнь 2011 года</t>
  </si>
  <si>
    <t>Анализ исполнения бюджета  Козловского  городского  поселения  за  июнь 2011  года</t>
  </si>
  <si>
    <t>Анализ исполнения бюджета  Карачевского сельского поселения за июнь 2011 года</t>
  </si>
  <si>
    <t>Анализ исполнения бюджета  Карамышевского сельского поселения за июнь 2011 года</t>
  </si>
  <si>
    <t>Анализ исполнения бюджета  Еметкинского сельского поселения за июнь 2011 года</t>
  </si>
  <si>
    <t>Анализ исполнения бюджета  Байгуловского сельского поселения за июнь 2011 года</t>
  </si>
  <si>
    <t>Анализ исполнения бюджета Аттиковского сельского поселения за июнь 2011 года</t>
  </si>
  <si>
    <t>Анализ  исполнения бюджета Андреево-Базарского сельского поселения за июнь 2011 года</t>
  </si>
  <si>
    <t>субсидии на капремонт объектов соцкультсферы</t>
  </si>
  <si>
    <t>Отклонение от  годового  плана   2011 г         ( +, - )</t>
  </si>
  <si>
    <t>втом числе субсидии на осуществление капремонта объектов соц-культсферы</t>
  </si>
  <si>
    <t xml:space="preserve">Заместитель начальника - главный бухгалтер </t>
  </si>
  <si>
    <t>финансового отдела администрации Козловского района</t>
  </si>
  <si>
    <t>Л. Ю. Зюляева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</si>
</sst>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1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9"/>
      <color indexed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41" fontId="0" fillId="0" borderId="0" xfId="19" applyFill="1" applyAlignment="1">
      <alignment horizontal="right"/>
    </xf>
    <xf numFmtId="41" fontId="0" fillId="0" borderId="0" xfId="19" applyFill="1" applyAlignment="1">
      <alignment horizontal="right" wrapText="1"/>
    </xf>
    <xf numFmtId="41" fontId="0" fillId="0" borderId="0" xfId="19" applyFill="1" applyAlignment="1">
      <alignment horizontal="center"/>
    </xf>
    <xf numFmtId="0" fontId="0" fillId="0" borderId="0" xfId="0" applyFill="1" applyAlignment="1">
      <alignment/>
    </xf>
    <xf numFmtId="41" fontId="0" fillId="0" borderId="0" xfId="19" applyFill="1" applyAlignment="1">
      <alignment/>
    </xf>
    <xf numFmtId="41" fontId="0" fillId="0" borderId="0" xfId="19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" xfId="19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41" fontId="0" fillId="0" borderId="1" xfId="19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3" xfId="19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41" fontId="6" fillId="0" borderId="0" xfId="1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right" wrapText="1"/>
    </xf>
    <xf numFmtId="2" fontId="0" fillId="0" borderId="1" xfId="0" applyNumberFormat="1" applyFill="1" applyBorder="1" applyAlignment="1">
      <alignment wrapText="1"/>
    </xf>
    <xf numFmtId="2" fontId="0" fillId="0" borderId="1" xfId="17" applyNumberFormat="1" applyFill="1" applyBorder="1" applyAlignment="1">
      <alignment wrapText="1"/>
    </xf>
    <xf numFmtId="2" fontId="0" fillId="0" borderId="1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wrapText="1"/>
    </xf>
    <xf numFmtId="1" fontId="0" fillId="0" borderId="1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41" fontId="5" fillId="0" borderId="5" xfId="19" applyFont="1" applyFill="1" applyBorder="1" applyAlignment="1">
      <alignment horizontal="center" vertical="center" wrapText="1"/>
    </xf>
    <xf numFmtId="2" fontId="0" fillId="0" borderId="1" xfId="19" applyNumberFormat="1" applyFont="1" applyFill="1" applyBorder="1" applyAlignment="1">
      <alignment horizontal="right" wrapText="1"/>
    </xf>
    <xf numFmtId="1" fontId="0" fillId="0" borderId="6" xfId="19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41" fontId="5" fillId="0" borderId="8" xfId="1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19" applyFont="1" applyFill="1" applyAlignment="1">
      <alignment/>
    </xf>
    <xf numFmtId="2" fontId="10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2" fontId="10" fillId="0" borderId="1" xfId="17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2" fontId="10" fillId="0" borderId="3" xfId="19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41" fontId="10" fillId="0" borderId="0" xfId="19" applyFont="1" applyFill="1" applyAlignment="1">
      <alignment wrapText="1"/>
    </xf>
    <xf numFmtId="41" fontId="10" fillId="0" borderId="0" xfId="19" applyFont="1" applyFill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wrapText="1"/>
    </xf>
    <xf numFmtId="2" fontId="2" fillId="0" borderId="1" xfId="19" applyNumberFormat="1" applyFont="1" applyFill="1" applyBorder="1" applyAlignment="1">
      <alignment wrapText="1"/>
    </xf>
    <xf numFmtId="41" fontId="0" fillId="0" borderId="0" xfId="19" applyFill="1" applyAlignment="1">
      <alignment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3" xfId="19" applyNumberFormat="1" applyFill="1" applyBorder="1" applyAlignment="1">
      <alignment horizontal="center" wrapText="1"/>
    </xf>
    <xf numFmtId="41" fontId="0" fillId="0" borderId="1" xfId="19" applyFill="1" applyBorder="1" applyAlignment="1">
      <alignment wrapText="1"/>
    </xf>
    <xf numFmtId="41" fontId="0" fillId="0" borderId="3" xfId="19" applyFill="1" applyBorder="1" applyAlignment="1">
      <alignment horizontal="right" wrapText="1"/>
    </xf>
    <xf numFmtId="2" fontId="0" fillId="0" borderId="1" xfId="17" applyNumberFormat="1" applyFill="1" applyBorder="1" applyAlignment="1">
      <alignment wrapText="1"/>
    </xf>
    <xf numFmtId="2" fontId="0" fillId="0" borderId="3" xfId="19" applyNumberFormat="1" applyFill="1" applyBorder="1" applyAlignment="1">
      <alignment horizontal="right" wrapText="1"/>
    </xf>
    <xf numFmtId="2" fontId="0" fillId="0" borderId="1" xfId="19" applyNumberFormat="1" applyFill="1" applyBorder="1" applyAlignment="1">
      <alignment horizontal="right" wrapText="1"/>
    </xf>
    <xf numFmtId="41" fontId="0" fillId="0" borderId="0" xfId="19" applyFill="1" applyAlignment="1">
      <alignment wrapText="1"/>
    </xf>
    <xf numFmtId="41" fontId="0" fillId="0" borderId="0" xfId="19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1" fontId="0" fillId="0" borderId="1" xfId="19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wrapText="1"/>
    </xf>
    <xf numFmtId="1" fontId="0" fillId="0" borderId="3" xfId="1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" xfId="19" applyFont="1" applyFill="1" applyBorder="1" applyAlignment="1">
      <alignment wrapText="1"/>
    </xf>
    <xf numFmtId="41" fontId="0" fillId="0" borderId="3" xfId="1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2" xfId="0" applyFont="1" applyFill="1" applyBorder="1" applyAlignment="1">
      <alignment wrapText="1"/>
    </xf>
    <xf numFmtId="41" fontId="4" fillId="0" borderId="1" xfId="19" applyFont="1" applyFill="1" applyBorder="1" applyAlignment="1">
      <alignment horizontal="right" wrapText="1"/>
    </xf>
    <xf numFmtId="2" fontId="4" fillId="0" borderId="1" xfId="17" applyNumberFormat="1" applyFont="1" applyFill="1" applyBorder="1" applyAlignment="1">
      <alignment wrapText="1"/>
    </xf>
    <xf numFmtId="165" fontId="4" fillId="0" borderId="3" xfId="19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2" fontId="4" fillId="0" borderId="3" xfId="19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1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19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19" applyNumberFormat="1" applyFont="1" applyFill="1" applyBorder="1" applyAlignment="1">
      <alignment horizontal="right" wrapText="1"/>
    </xf>
    <xf numFmtId="2" fontId="0" fillId="0" borderId="6" xfId="17" applyNumberFormat="1" applyFont="1" applyFill="1" applyBorder="1" applyAlignment="1">
      <alignment wrapText="1"/>
    </xf>
    <xf numFmtId="2" fontId="0" fillId="0" borderId="16" xfId="19" applyNumberFormat="1" applyFont="1" applyFill="1" applyBorder="1" applyAlignment="1">
      <alignment horizontal="right" wrapText="1"/>
    </xf>
    <xf numFmtId="2" fontId="0" fillId="0" borderId="12" xfId="17" applyNumberFormat="1" applyFont="1" applyFill="1" applyBorder="1" applyAlignment="1">
      <alignment wrapText="1"/>
    </xf>
    <xf numFmtId="2" fontId="0" fillId="0" borderId="13" xfId="1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1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19" applyNumberFormat="1" applyFont="1" applyFill="1" applyAlignment="1">
      <alignment horizontal="right" wrapText="1"/>
    </xf>
    <xf numFmtId="2" fontId="0" fillId="0" borderId="12" xfId="17" applyNumberFormat="1" applyFill="1" applyBorder="1" applyAlignment="1">
      <alignment wrapText="1"/>
    </xf>
    <xf numFmtId="2" fontId="0" fillId="0" borderId="13" xfId="19" applyNumberForma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19" applyNumberFormat="1" applyFont="1" applyFill="1" applyBorder="1" applyAlignment="1">
      <alignment horizontal="right" wrapText="1"/>
    </xf>
    <xf numFmtId="0" fontId="0" fillId="0" borderId="17" xfId="0" applyFill="1" applyBorder="1" applyAlignment="1">
      <alignment wrapText="1"/>
    </xf>
    <xf numFmtId="2" fontId="0" fillId="0" borderId="0" xfId="19" applyNumberFormat="1" applyFill="1" applyBorder="1" applyAlignment="1">
      <alignment horizontal="right" wrapText="1"/>
    </xf>
    <xf numFmtId="2" fontId="0" fillId="0" borderId="17" xfId="0" applyNumberForma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top" shrinkToFit="1"/>
    </xf>
    <xf numFmtId="0" fontId="0" fillId="0" borderId="2" xfId="0" applyFont="1" applyFill="1" applyBorder="1" applyAlignment="1">
      <alignment wrapText="1"/>
    </xf>
    <xf numFmtId="2" fontId="0" fillId="0" borderId="1" xfId="19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0" fillId="0" borderId="10" xfId="17" applyNumberFormat="1" applyFont="1" applyFill="1" applyBorder="1" applyAlignment="1">
      <alignment wrapText="1"/>
    </xf>
    <xf numFmtId="2" fontId="0" fillId="0" borderId="18" xfId="19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right" wrapText="1"/>
    </xf>
    <xf numFmtId="2" fontId="0" fillId="0" borderId="20" xfId="17" applyNumberFormat="1" applyFont="1" applyFill="1" applyBorder="1" applyAlignment="1">
      <alignment wrapText="1"/>
    </xf>
    <xf numFmtId="2" fontId="0" fillId="0" borderId="21" xfId="19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7" applyNumberFormat="1" applyFont="1" applyFill="1" applyBorder="1" applyAlignment="1">
      <alignment wrapText="1"/>
    </xf>
    <xf numFmtId="2" fontId="0" fillId="2" borderId="3" xfId="19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1" xfId="19" applyNumberFormat="1" applyFont="1" applyFill="1" applyBorder="1" applyAlignment="1">
      <alignment horizontal="right" wrapText="1"/>
    </xf>
    <xf numFmtId="2" fontId="0" fillId="0" borderId="10" xfId="19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6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0" xfId="0" applyNumberFormat="1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2" fontId="0" fillId="0" borderId="15" xfId="19" applyNumberFormat="1" applyFont="1" applyFill="1" applyBorder="1" applyAlignment="1">
      <alignment wrapText="1"/>
    </xf>
    <xf numFmtId="2" fontId="0" fillId="0" borderId="15" xfId="17" applyNumberFormat="1" applyFont="1" applyFill="1" applyBorder="1" applyAlignment="1">
      <alignment wrapText="1"/>
    </xf>
    <xf numFmtId="2" fontId="0" fillId="0" borderId="23" xfId="19" applyNumberFormat="1" applyFont="1" applyFill="1" applyBorder="1" applyAlignment="1">
      <alignment horizontal="right" wrapText="1"/>
    </xf>
    <xf numFmtId="2" fontId="0" fillId="0" borderId="6" xfId="19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19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2" fontId="0" fillId="2" borderId="1" xfId="0" applyNumberFormat="1" applyFill="1" applyBorder="1" applyAlignment="1">
      <alignment horizontal="right" wrapText="1"/>
    </xf>
    <xf numFmtId="2" fontId="0" fillId="0" borderId="10" xfId="17" applyNumberFormat="1" applyFill="1" applyBorder="1" applyAlignment="1">
      <alignment wrapText="1"/>
    </xf>
    <xf numFmtId="2" fontId="0" fillId="0" borderId="18" xfId="19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19" applyNumberFormat="1" applyFill="1" applyBorder="1" applyAlignment="1">
      <alignment horizontal="right" wrapText="1"/>
    </xf>
    <xf numFmtId="2" fontId="0" fillId="0" borderId="10" xfId="19" applyNumberFormat="1" applyFill="1" applyBorder="1" applyAlignment="1">
      <alignment wrapText="1"/>
    </xf>
    <xf numFmtId="0" fontId="0" fillId="0" borderId="19" xfId="0" applyFill="1" applyBorder="1" applyAlignment="1">
      <alignment wrapText="1"/>
    </xf>
    <xf numFmtId="2" fontId="0" fillId="0" borderId="6" xfId="0" applyNumberFormat="1" applyFill="1" applyBorder="1" applyAlignment="1">
      <alignment wrapText="1"/>
    </xf>
    <xf numFmtId="2" fontId="0" fillId="0" borderId="6" xfId="17" applyNumberFormat="1" applyFill="1" applyBorder="1" applyAlignment="1">
      <alignment wrapText="1"/>
    </xf>
    <xf numFmtId="2" fontId="0" fillId="0" borderId="16" xfId="19" applyNumberForma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19" applyNumberFormat="1" applyFill="1" applyBorder="1" applyAlignment="1">
      <alignment horizontal="right" wrapText="1"/>
    </xf>
    <xf numFmtId="2" fontId="0" fillId="0" borderId="15" xfId="17" applyNumberFormat="1" applyFill="1" applyBorder="1" applyAlignment="1">
      <alignment wrapText="1"/>
    </xf>
    <xf numFmtId="2" fontId="0" fillId="0" borderId="23" xfId="19" applyNumberFormat="1" applyFill="1" applyBorder="1" applyAlignment="1">
      <alignment horizontal="right" wrapText="1"/>
    </xf>
    <xf numFmtId="2" fontId="0" fillId="0" borderId="6" xfId="19" applyNumberFormat="1" applyFill="1" applyBorder="1" applyAlignment="1">
      <alignment horizontal="right" wrapText="1"/>
    </xf>
    <xf numFmtId="0" fontId="0" fillId="0" borderId="14" xfId="0" applyFill="1" applyBorder="1" applyAlignment="1">
      <alignment wrapText="1"/>
    </xf>
    <xf numFmtId="2" fontId="0" fillId="0" borderId="15" xfId="19" applyNumberFormat="1" applyFill="1" applyBorder="1" applyAlignment="1">
      <alignment wrapText="1"/>
    </xf>
    <xf numFmtId="0" fontId="0" fillId="0" borderId="22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2" fontId="0" fillId="0" borderId="20" xfId="17" applyNumberFormat="1" applyFill="1" applyBorder="1" applyAlignment="1">
      <alignment wrapText="1"/>
    </xf>
    <xf numFmtId="2" fontId="0" fillId="0" borderId="21" xfId="19" applyNumberFormat="1" applyFill="1" applyBorder="1" applyAlignment="1">
      <alignment horizontal="right" wrapText="1"/>
    </xf>
    <xf numFmtId="0" fontId="3" fillId="0" borderId="22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right" wrapText="1"/>
    </xf>
    <xf numFmtId="0" fontId="0" fillId="3" borderId="2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20" xfId="19" applyNumberFormat="1" applyFill="1" applyBorder="1" applyAlignment="1">
      <alignment horizontal="right" wrapText="1"/>
    </xf>
    <xf numFmtId="2" fontId="0" fillId="3" borderId="20" xfId="0" applyNumberFormat="1" applyFill="1" applyBorder="1" applyAlignment="1">
      <alignment wrapText="1"/>
    </xf>
    <xf numFmtId="2" fontId="0" fillId="3" borderId="20" xfId="0" applyNumberForma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 wrapText="1"/>
    </xf>
    <xf numFmtId="2" fontId="0" fillId="3" borderId="6" xfId="0" applyNumberForma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1" xfId="17" applyNumberFormat="1" applyFont="1" applyFill="1" applyBorder="1" applyAlignment="1">
      <alignment wrapText="1"/>
    </xf>
    <xf numFmtId="2" fontId="13" fillId="0" borderId="3" xfId="19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2" fontId="13" fillId="0" borderId="1" xfId="19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wrapText="1"/>
    </xf>
    <xf numFmtId="2" fontId="0" fillId="3" borderId="20" xfId="0" applyNumberFormat="1" applyFont="1" applyFill="1" applyBorder="1" applyAlignment="1">
      <alignment horizontal="right" wrapText="1"/>
    </xf>
    <xf numFmtId="2" fontId="0" fillId="3" borderId="6" xfId="0" applyNumberFormat="1" applyFont="1" applyFill="1" applyBorder="1" applyAlignment="1">
      <alignment wrapText="1"/>
    </xf>
    <xf numFmtId="2" fontId="0" fillId="3" borderId="1" xfId="0" applyNumberFormat="1" applyFont="1" applyFill="1" applyBorder="1" applyAlignment="1">
      <alignment wrapText="1"/>
    </xf>
    <xf numFmtId="2" fontId="0" fillId="3" borderId="12" xfId="0" applyNumberFormat="1" applyFill="1" applyBorder="1" applyAlignment="1">
      <alignment wrapText="1"/>
    </xf>
    <xf numFmtId="2" fontId="0" fillId="3" borderId="12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horizontal="right" wrapText="1"/>
    </xf>
    <xf numFmtId="2" fontId="11" fillId="3" borderId="1" xfId="19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wrapText="1"/>
    </xf>
    <xf numFmtId="0" fontId="0" fillId="3" borderId="17" xfId="0" applyFill="1" applyBorder="1" applyAlignment="1">
      <alignment wrapText="1"/>
    </xf>
    <xf numFmtId="2" fontId="0" fillId="3" borderId="1" xfId="19" applyNumberFormat="1" applyFill="1" applyBorder="1" applyAlignment="1">
      <alignment horizontal="right" wrapText="1"/>
    </xf>
    <xf numFmtId="2" fontId="0" fillId="3" borderId="1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right" wrapText="1"/>
    </xf>
    <xf numFmtId="2" fontId="2" fillId="3" borderId="1" xfId="19" applyNumberFormat="1" applyFont="1" applyFill="1" applyBorder="1" applyAlignment="1">
      <alignment wrapText="1"/>
    </xf>
    <xf numFmtId="2" fontId="0" fillId="3" borderId="1" xfId="19" applyNumberFormat="1" applyFont="1" applyFill="1" applyBorder="1" applyAlignment="1">
      <alignment horizontal="right" wrapText="1"/>
    </xf>
    <xf numFmtId="2" fontId="11" fillId="3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2" fontId="13" fillId="3" borderId="1" xfId="0" applyNumberFormat="1" applyFont="1" applyFill="1" applyBorder="1" applyAlignment="1">
      <alignment wrapText="1"/>
    </xf>
    <xf numFmtId="2" fontId="0" fillId="2" borderId="1" xfId="17" applyNumberFormat="1" applyFill="1" applyBorder="1" applyAlignment="1">
      <alignment wrapText="1"/>
    </xf>
    <xf numFmtId="2" fontId="0" fillId="2" borderId="3" xfId="19" applyNumberForma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2" fontId="13" fillId="0" borderId="1" xfId="19" applyNumberFormat="1" applyFont="1" applyFill="1" applyBorder="1" applyAlignment="1">
      <alignment wrapText="1"/>
    </xf>
    <xf numFmtId="2" fontId="0" fillId="0" borderId="1" xfId="17" applyNumberFormat="1" applyFont="1" applyFill="1" applyBorder="1" applyAlignment="1">
      <alignment wrapText="1"/>
    </xf>
    <xf numFmtId="2" fontId="0" fillId="0" borderId="3" xfId="19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19" applyFont="1" applyFill="1" applyAlignment="1">
      <alignment horizontal="center"/>
    </xf>
    <xf numFmtId="41" fontId="6" fillId="0" borderId="0" xfId="19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zoomScaleSheetLayoutView="75" workbookViewId="0" topLeftCell="A96">
      <selection activeCell="A123" sqref="A123:E124"/>
    </sheetView>
  </sheetViews>
  <sheetFormatPr defaultColWidth="9.00390625" defaultRowHeight="12.75"/>
  <cols>
    <col min="1" max="1" width="90.875" style="4" customWidth="1"/>
    <col min="2" max="2" width="13.625" style="4" customWidth="1"/>
    <col min="3" max="3" width="16.375" style="5" customWidth="1"/>
    <col min="4" max="4" width="14.25390625" style="4" customWidth="1"/>
    <col min="5" max="5" width="16.1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36" t="s">
        <v>313</v>
      </c>
      <c r="B1" s="236"/>
      <c r="C1" s="236"/>
      <c r="D1" s="236"/>
      <c r="E1" s="236"/>
      <c r="F1" s="20"/>
      <c r="G1" s="20"/>
      <c r="H1" s="20"/>
      <c r="I1" s="20"/>
      <c r="J1" s="20"/>
    </row>
    <row r="2" spans="1:5" ht="13.5" thickBot="1">
      <c r="A2" s="38"/>
      <c r="B2" s="38"/>
      <c r="C2" s="39"/>
      <c r="D2" s="38"/>
      <c r="E2" s="38" t="s">
        <v>0</v>
      </c>
    </row>
    <row r="3" spans="1:5" s="23" customFormat="1" ht="96.75" customHeight="1">
      <c r="A3" s="35" t="s">
        <v>1</v>
      </c>
      <c r="B3" s="19" t="s">
        <v>237</v>
      </c>
      <c r="C3" s="32" t="s">
        <v>303</v>
      </c>
      <c r="D3" s="19" t="s">
        <v>238</v>
      </c>
      <c r="E3" s="37" t="s">
        <v>239</v>
      </c>
    </row>
    <row r="4" spans="1:5" s="74" customFormat="1" ht="10.5" customHeight="1">
      <c r="A4" s="70">
        <v>1</v>
      </c>
      <c r="B4" s="103">
        <v>2</v>
      </c>
      <c r="C4" s="71">
        <v>3</v>
      </c>
      <c r="D4" s="72">
        <v>4</v>
      </c>
      <c r="E4" s="73">
        <v>5</v>
      </c>
    </row>
    <row r="5" spans="1:5" s="77" customFormat="1" ht="12.75">
      <c r="A5" s="22" t="s">
        <v>2</v>
      </c>
      <c r="B5" s="11"/>
      <c r="C5" s="75"/>
      <c r="D5" s="31"/>
      <c r="E5" s="76"/>
    </row>
    <row r="6" spans="1:5" s="9" customFormat="1" ht="12.75" customHeight="1" hidden="1">
      <c r="A6" s="78" t="s">
        <v>37</v>
      </c>
      <c r="B6" s="79"/>
      <c r="C6" s="79" t="e">
        <f>SUM(C7,C11,C14,C17,#REF!,#REF!,C10,)</f>
        <v>#REF!</v>
      </c>
      <c r="D6" s="80" t="e">
        <f>IF(#REF!=0,"   ",C6/#REF!)</f>
        <v>#REF!</v>
      </c>
      <c r="E6" s="81" t="e">
        <f>C6-#REF!</f>
        <v>#REF!</v>
      </c>
    </row>
    <row r="7" spans="1:5" s="86" customFormat="1" ht="12.75">
      <c r="A7" s="82" t="s">
        <v>58</v>
      </c>
      <c r="B7" s="207">
        <f>SUM(B9)</f>
        <v>130400</v>
      </c>
      <c r="C7" s="207">
        <f>SUM(C9,)</f>
        <v>80125.56</v>
      </c>
      <c r="D7" s="84">
        <f>IF(B7=0,"   ",C7/B7*100)</f>
        <v>61.44598159509202</v>
      </c>
      <c r="E7" s="85">
        <f>C7-B7</f>
        <v>-50274.44</v>
      </c>
    </row>
    <row r="8" spans="1:5" s="77" customFormat="1" ht="12.75" customHeight="1" hidden="1">
      <c r="A8" s="48" t="s">
        <v>3</v>
      </c>
      <c r="B8" s="31">
        <v>387940</v>
      </c>
      <c r="C8" s="87">
        <v>217766</v>
      </c>
      <c r="D8" s="84" t="e">
        <f>IF(#REF!=0,"   ",C8/#REF!)</f>
        <v>#REF!</v>
      </c>
      <c r="E8" s="85" t="e">
        <f>C8-#REF!</f>
        <v>#REF!</v>
      </c>
    </row>
    <row r="9" spans="1:5" s="77" customFormat="1" ht="12.75">
      <c r="A9" s="48" t="s">
        <v>217</v>
      </c>
      <c r="B9" s="31">
        <v>130400</v>
      </c>
      <c r="C9" s="87">
        <v>80125.56</v>
      </c>
      <c r="D9" s="84">
        <f>IF(B9=0,"   ",C9/B9*100)</f>
        <v>61.44598159509202</v>
      </c>
      <c r="E9" s="85">
        <f>C9-B9</f>
        <v>-50274.44</v>
      </c>
    </row>
    <row r="10" spans="1:5" s="77" customFormat="1" ht="12.75" customHeight="1" hidden="1">
      <c r="A10" s="48" t="s">
        <v>35</v>
      </c>
      <c r="B10" s="31"/>
      <c r="C10" s="87">
        <v>175</v>
      </c>
      <c r="D10" s="84"/>
      <c r="E10" s="85"/>
    </row>
    <row r="11" spans="1:5" s="86" customFormat="1" ht="12.75" customHeight="1" hidden="1">
      <c r="A11" s="48" t="s">
        <v>4</v>
      </c>
      <c r="B11" s="31">
        <f>SUM(B12:B13)</f>
        <v>1848003</v>
      </c>
      <c r="C11" s="31">
        <f>SUM(C12:C13)</f>
        <v>1704024</v>
      </c>
      <c r="D11" s="84" t="e">
        <f>IF(#REF!=0,"   ",C11/#REF!)</f>
        <v>#REF!</v>
      </c>
      <c r="E11" s="85" t="e">
        <f>C11-#REF!</f>
        <v>#REF!</v>
      </c>
    </row>
    <row r="12" spans="1:5" s="77" customFormat="1" ht="12.75" customHeight="1" hidden="1">
      <c r="A12" s="48" t="s">
        <v>5</v>
      </c>
      <c r="B12" s="31">
        <v>17853</v>
      </c>
      <c r="C12" s="87">
        <v>13730</v>
      </c>
      <c r="D12" s="84" t="e">
        <f>IF(#REF!=0,"   ",C12/#REF!)</f>
        <v>#REF!</v>
      </c>
      <c r="E12" s="85" t="e">
        <f>C12-#REF!</f>
        <v>#REF!</v>
      </c>
    </row>
    <row r="13" spans="1:5" s="77" customFormat="1" ht="12.75" customHeight="1" hidden="1">
      <c r="A13" s="48" t="s">
        <v>6</v>
      </c>
      <c r="B13" s="31">
        <v>1830150</v>
      </c>
      <c r="C13" s="87">
        <v>1690294</v>
      </c>
      <c r="D13" s="84" t="e">
        <f>IF(#REF!=0,"   ",C13/#REF!)</f>
        <v>#REF!</v>
      </c>
      <c r="E13" s="85" t="e">
        <f>C13-#REF!</f>
        <v>#REF!</v>
      </c>
    </row>
    <row r="14" spans="1:5" s="86" customFormat="1" ht="12.75">
      <c r="A14" s="48" t="s">
        <v>7</v>
      </c>
      <c r="B14" s="207">
        <f>SUM(B16)</f>
        <v>93000</v>
      </c>
      <c r="C14" s="208">
        <f>SUM(C16:C16)</f>
        <v>2938.62</v>
      </c>
      <c r="D14" s="84">
        <f>IF(B14=0,"   ",C14/B14*100)</f>
        <v>3.159806451612903</v>
      </c>
      <c r="E14" s="85">
        <f>C14-B14</f>
        <v>-90061.38</v>
      </c>
    </row>
    <row r="15" spans="1:5" s="77" customFormat="1" ht="12.75" customHeight="1" hidden="1">
      <c r="A15" s="48" t="s">
        <v>8</v>
      </c>
      <c r="B15" s="31">
        <v>103725</v>
      </c>
      <c r="C15" s="87">
        <v>92515</v>
      </c>
      <c r="D15" s="84" t="e">
        <f>IF(#REF!=0,"   ",C15/#REF!)</f>
        <v>#REF!</v>
      </c>
      <c r="E15" s="85" t="e">
        <f>C15-#REF!</f>
        <v>#REF!</v>
      </c>
    </row>
    <row r="16" spans="1:5" s="77" customFormat="1" ht="12.75">
      <c r="A16" s="48" t="s">
        <v>218</v>
      </c>
      <c r="B16" s="31">
        <v>93000</v>
      </c>
      <c r="C16" s="87">
        <v>2938.62</v>
      </c>
      <c r="D16" s="84">
        <f aca="true" t="shared" si="0" ref="D16:D27">IF(B16=0,"   ",C16/B16*100)</f>
        <v>3.159806451612903</v>
      </c>
      <c r="E16" s="85">
        <f aca="true" t="shared" si="1" ref="E16:E27">C16-B16</f>
        <v>-90061.38</v>
      </c>
    </row>
    <row r="17" spans="1:5" s="77" customFormat="1" ht="12.75">
      <c r="A17" s="48" t="s">
        <v>9</v>
      </c>
      <c r="B17" s="208">
        <f>SUM(B18:B19)</f>
        <v>641600</v>
      </c>
      <c r="C17" s="208">
        <f>SUM(C18:C19)</f>
        <v>130222.28</v>
      </c>
      <c r="D17" s="84">
        <f t="shared" si="0"/>
        <v>20.296490024937654</v>
      </c>
      <c r="E17" s="85">
        <f t="shared" si="1"/>
        <v>-511377.72</v>
      </c>
    </row>
    <row r="18" spans="1:5" s="77" customFormat="1" ht="12.75">
      <c r="A18" s="48" t="s">
        <v>219</v>
      </c>
      <c r="B18" s="31">
        <v>255000</v>
      </c>
      <c r="C18" s="87">
        <v>18491.78</v>
      </c>
      <c r="D18" s="84">
        <f t="shared" si="0"/>
        <v>7.251678431372549</v>
      </c>
      <c r="E18" s="85">
        <f t="shared" si="1"/>
        <v>-236508.22</v>
      </c>
    </row>
    <row r="19" spans="1:5" s="77" customFormat="1" ht="12.75">
      <c r="A19" s="48" t="s">
        <v>220</v>
      </c>
      <c r="B19" s="31">
        <v>386600</v>
      </c>
      <c r="C19" s="87">
        <v>111730.5</v>
      </c>
      <c r="D19" s="84">
        <f t="shared" si="0"/>
        <v>28.900801862390068</v>
      </c>
      <c r="E19" s="85">
        <f t="shared" si="1"/>
        <v>-274869.5</v>
      </c>
    </row>
    <row r="20" spans="1:5" s="77" customFormat="1" ht="30" customHeight="1">
      <c r="A20" s="48" t="s">
        <v>148</v>
      </c>
      <c r="B20" s="31">
        <v>0</v>
      </c>
      <c r="C20" s="31">
        <v>1.94</v>
      </c>
      <c r="D20" s="84" t="str">
        <f t="shared" si="0"/>
        <v>   </v>
      </c>
      <c r="E20" s="85">
        <f t="shared" si="1"/>
        <v>1.94</v>
      </c>
    </row>
    <row r="21" spans="1:5" s="77" customFormat="1" ht="24.75" customHeight="1">
      <c r="A21" s="48" t="s">
        <v>40</v>
      </c>
      <c r="B21" s="208">
        <f>SUM(B22:B23)</f>
        <v>300000</v>
      </c>
      <c r="C21" s="207">
        <f>SUM(C22:C23)</f>
        <v>26492.44</v>
      </c>
      <c r="D21" s="84">
        <f t="shared" si="0"/>
        <v>8.830813333333333</v>
      </c>
      <c r="E21" s="85">
        <f t="shared" si="1"/>
        <v>-273507.56</v>
      </c>
    </row>
    <row r="22" spans="1:5" s="77" customFormat="1" ht="12.75">
      <c r="A22" s="48" t="s">
        <v>41</v>
      </c>
      <c r="B22" s="31">
        <v>300000</v>
      </c>
      <c r="C22" s="87">
        <v>24314.44</v>
      </c>
      <c r="D22" s="84">
        <f t="shared" si="0"/>
        <v>8.104813333333333</v>
      </c>
      <c r="E22" s="85">
        <f t="shared" si="1"/>
        <v>-275685.56</v>
      </c>
    </row>
    <row r="23" spans="1:5" s="77" customFormat="1" ht="24.75" customHeight="1">
      <c r="A23" s="48" t="s">
        <v>42</v>
      </c>
      <c r="B23" s="31">
        <v>0</v>
      </c>
      <c r="C23" s="87">
        <v>2178</v>
      </c>
      <c r="D23" s="84" t="str">
        <f t="shared" si="0"/>
        <v>   </v>
      </c>
      <c r="E23" s="85">
        <f t="shared" si="1"/>
        <v>2178</v>
      </c>
    </row>
    <row r="24" spans="1:5" s="77" customFormat="1" ht="18.75" customHeight="1">
      <c r="A24" s="48" t="s">
        <v>153</v>
      </c>
      <c r="B24" s="83">
        <v>0</v>
      </c>
      <c r="C24" s="87">
        <v>0</v>
      </c>
      <c r="D24" s="84"/>
      <c r="E24" s="85">
        <f t="shared" si="1"/>
        <v>0</v>
      </c>
    </row>
    <row r="25" spans="1:5" s="77" customFormat="1" ht="16.5" customHeight="1">
      <c r="A25" s="48" t="s">
        <v>109</v>
      </c>
      <c r="B25" s="207">
        <v>0</v>
      </c>
      <c r="C25" s="207">
        <f>C26</f>
        <v>-4351</v>
      </c>
      <c r="D25" s="84" t="str">
        <f t="shared" si="0"/>
        <v>   </v>
      </c>
      <c r="E25" s="85">
        <f t="shared" si="1"/>
        <v>-4351</v>
      </c>
    </row>
    <row r="26" spans="1:5" s="77" customFormat="1" ht="27.75" customHeight="1">
      <c r="A26" s="48" t="s">
        <v>110</v>
      </c>
      <c r="B26" s="31">
        <v>0</v>
      </c>
      <c r="C26" s="87">
        <v>-4351</v>
      </c>
      <c r="D26" s="84" t="str">
        <f t="shared" si="0"/>
        <v>   </v>
      </c>
      <c r="E26" s="85">
        <f t="shared" si="1"/>
        <v>-4351</v>
      </c>
    </row>
    <row r="27" spans="1:5" s="77" customFormat="1" ht="15" customHeight="1">
      <c r="A27" s="48" t="s">
        <v>44</v>
      </c>
      <c r="B27" s="208">
        <v>0</v>
      </c>
      <c r="C27" s="208">
        <f>SUM(C30:C31)</f>
        <v>0</v>
      </c>
      <c r="D27" s="84" t="str">
        <f t="shared" si="0"/>
        <v>   </v>
      </c>
      <c r="E27" s="85">
        <f t="shared" si="1"/>
        <v>0</v>
      </c>
    </row>
    <row r="28" spans="1:5" s="77" customFormat="1" ht="12.75" customHeight="1" hidden="1">
      <c r="A28" s="88" t="s">
        <v>45</v>
      </c>
      <c r="B28" s="31"/>
      <c r="C28" s="89"/>
      <c r="D28" s="84" t="e">
        <f>IF(#REF!=0,"   ",C28/#REF!)</f>
        <v>#REF!</v>
      </c>
      <c r="E28" s="85" t="e">
        <f>C28-#REF!</f>
        <v>#REF!</v>
      </c>
    </row>
    <row r="29" spans="1:5" s="9" customFormat="1" ht="12.75" customHeight="1" hidden="1">
      <c r="A29" s="88" t="s">
        <v>20</v>
      </c>
      <c r="B29" s="49">
        <f>SUM(B35,B48,B49,B46)</f>
        <v>1769925</v>
      </c>
      <c r="C29" s="51">
        <f>SUM(C35,C48,C49,C50)</f>
        <v>1060006</v>
      </c>
      <c r="D29" s="84" t="e">
        <f>IF(#REF!=0,"   ",C29/#REF!)</f>
        <v>#REF!</v>
      </c>
      <c r="E29" s="85" t="e">
        <f>C29-#REF!</f>
        <v>#REF!</v>
      </c>
    </row>
    <row r="30" spans="1:5" s="9" customFormat="1" ht="25.5">
      <c r="A30" s="48" t="s">
        <v>123</v>
      </c>
      <c r="B30" s="49">
        <v>0</v>
      </c>
      <c r="C30" s="51">
        <v>0</v>
      </c>
      <c r="D30" s="84" t="str">
        <f>IF(B30=0,"   ",C30/B30*100)</f>
        <v>   </v>
      </c>
      <c r="E30" s="85">
        <f>C30-B30</f>
        <v>0</v>
      </c>
    </row>
    <row r="31" spans="1:5" s="9" customFormat="1" ht="15" customHeight="1">
      <c r="A31" s="48" t="s">
        <v>210</v>
      </c>
      <c r="B31" s="31">
        <v>0</v>
      </c>
      <c r="C31" s="83">
        <v>0</v>
      </c>
      <c r="D31" s="84" t="str">
        <f>IF(B31=0,"   ",C31/B31*100)</f>
        <v>   </v>
      </c>
      <c r="E31" s="85">
        <f>C31-B31</f>
        <v>0</v>
      </c>
    </row>
    <row r="32" spans="1:5" s="9" customFormat="1" ht="12.75" customHeight="1" hidden="1">
      <c r="A32" s="48" t="s">
        <v>59</v>
      </c>
      <c r="B32" s="49"/>
      <c r="C32" s="83">
        <v>0</v>
      </c>
      <c r="D32" s="84" t="e">
        <f>IF(#REF!=0,"   ",C32/#REF!)</f>
        <v>#REF!</v>
      </c>
      <c r="E32" s="85" t="e">
        <f>C32-#REF!</f>
        <v>#REF!</v>
      </c>
    </row>
    <row r="33" spans="1:5" s="9" customFormat="1" ht="0.75" customHeight="1" hidden="1">
      <c r="A33" s="129" t="s">
        <v>60</v>
      </c>
      <c r="B33" s="130">
        <v>1250</v>
      </c>
      <c r="C33" s="131"/>
      <c r="D33" s="132" t="e">
        <f>IF(#REF!=0,"   ",C33/#REF!)</f>
        <v>#REF!</v>
      </c>
      <c r="E33" s="133" t="e">
        <f>C33-#REF!</f>
        <v>#REF!</v>
      </c>
    </row>
    <row r="34" spans="1:5" s="9" customFormat="1" ht="12.75">
      <c r="A34" s="142" t="s">
        <v>11</v>
      </c>
      <c r="B34" s="143">
        <f>B7+B14+B17+B20+B21+B24+B25+B27</f>
        <v>1165000</v>
      </c>
      <c r="C34" s="143">
        <f>SUM(C7,C14,C17,C20,C21,C24,C25,C27,)</f>
        <v>235429.84</v>
      </c>
      <c r="D34" s="140">
        <f aca="true" t="shared" si="2" ref="D34:D45">IF(B34=0,"   ",C34/B34*100)</f>
        <v>20.208569957081547</v>
      </c>
      <c r="E34" s="144">
        <f aca="true" t="shared" si="3" ref="E34:E45">C34-B34</f>
        <v>-929570.16</v>
      </c>
    </row>
    <row r="35" spans="1:5" s="77" customFormat="1" ht="12.75">
      <c r="A35" s="134" t="s">
        <v>46</v>
      </c>
      <c r="B35" s="135">
        <v>1441000</v>
      </c>
      <c r="C35" s="135">
        <v>689900</v>
      </c>
      <c r="D35" s="107">
        <f t="shared" si="2"/>
        <v>47.876474670367806</v>
      </c>
      <c r="E35" s="108">
        <f t="shared" si="3"/>
        <v>-751100</v>
      </c>
    </row>
    <row r="36" spans="1:5" s="77" customFormat="1" ht="26.25" customHeight="1">
      <c r="A36" s="48" t="s">
        <v>64</v>
      </c>
      <c r="B36" s="31">
        <v>0</v>
      </c>
      <c r="C36" s="87">
        <v>0</v>
      </c>
      <c r="D36" s="84" t="str">
        <f t="shared" si="2"/>
        <v>   </v>
      </c>
      <c r="E36" s="85">
        <f t="shared" si="3"/>
        <v>0</v>
      </c>
    </row>
    <row r="37" spans="1:5" s="77" customFormat="1" ht="38.25" customHeight="1">
      <c r="A37" s="160" t="s">
        <v>69</v>
      </c>
      <c r="B37" s="161">
        <v>45900</v>
      </c>
      <c r="C37" s="161">
        <v>45900</v>
      </c>
      <c r="D37" s="162">
        <f t="shared" si="2"/>
        <v>100</v>
      </c>
      <c r="E37" s="163">
        <f t="shared" si="3"/>
        <v>0</v>
      </c>
    </row>
    <row r="38" spans="1:5" s="77" customFormat="1" ht="24.75" customHeight="1">
      <c r="A38" s="160" t="s">
        <v>164</v>
      </c>
      <c r="B38" s="161">
        <v>100</v>
      </c>
      <c r="C38" s="164">
        <v>100</v>
      </c>
      <c r="D38" s="162">
        <f t="shared" si="2"/>
        <v>100</v>
      </c>
      <c r="E38" s="163">
        <f t="shared" si="3"/>
        <v>0</v>
      </c>
    </row>
    <row r="39" spans="1:5" s="77" customFormat="1" ht="12.75" customHeight="1">
      <c r="A39" s="48" t="s">
        <v>77</v>
      </c>
      <c r="B39" s="31">
        <v>228000</v>
      </c>
      <c r="C39" s="87">
        <v>0</v>
      </c>
      <c r="D39" s="84">
        <f t="shared" si="2"/>
        <v>0</v>
      </c>
      <c r="E39" s="85">
        <f t="shared" si="3"/>
        <v>-228000</v>
      </c>
    </row>
    <row r="40" spans="1:5" s="77" customFormat="1" ht="25.5" customHeight="1">
      <c r="A40" s="48" t="s">
        <v>268</v>
      </c>
      <c r="B40" s="31">
        <v>988000</v>
      </c>
      <c r="C40" s="87">
        <v>0</v>
      </c>
      <c r="D40" s="84">
        <f t="shared" si="2"/>
        <v>0</v>
      </c>
      <c r="E40" s="85">
        <f t="shared" si="3"/>
        <v>-988000</v>
      </c>
    </row>
    <row r="41" spans="1:5" s="77" customFormat="1" ht="25.5" customHeight="1">
      <c r="A41" s="160" t="s">
        <v>174</v>
      </c>
      <c r="B41" s="161">
        <v>3800</v>
      </c>
      <c r="C41" s="161">
        <v>3800</v>
      </c>
      <c r="D41" s="162">
        <f t="shared" si="2"/>
        <v>100</v>
      </c>
      <c r="E41" s="163">
        <f t="shared" si="3"/>
        <v>0</v>
      </c>
    </row>
    <row r="42" spans="1:5" s="77" customFormat="1" ht="18" customHeight="1">
      <c r="A42" s="48" t="s">
        <v>75</v>
      </c>
      <c r="B42" s="208">
        <f>SUM(B43:B44)</f>
        <v>1012000</v>
      </c>
      <c r="C42" s="208">
        <f>SUM(C43:C44)</f>
        <v>49500</v>
      </c>
      <c r="D42" s="84">
        <f t="shared" si="2"/>
        <v>4.891304347826087</v>
      </c>
      <c r="E42" s="85">
        <f t="shared" si="3"/>
        <v>-962500</v>
      </c>
    </row>
    <row r="43" spans="1:5" s="77" customFormat="1" ht="24.75" customHeight="1">
      <c r="A43" s="48" t="s">
        <v>316</v>
      </c>
      <c r="B43" s="31">
        <v>784000</v>
      </c>
      <c r="C43" s="31">
        <v>0</v>
      </c>
      <c r="D43" s="84">
        <f t="shared" si="2"/>
        <v>0</v>
      </c>
      <c r="E43" s="85">
        <f t="shared" si="3"/>
        <v>-784000</v>
      </c>
    </row>
    <row r="44" spans="1:5" s="77" customFormat="1" ht="14.25" customHeight="1">
      <c r="A44" s="64" t="s">
        <v>211</v>
      </c>
      <c r="B44" s="31">
        <v>228000</v>
      </c>
      <c r="C44" s="31">
        <v>49500</v>
      </c>
      <c r="D44" s="84">
        <f t="shared" si="2"/>
        <v>21.710526315789476</v>
      </c>
      <c r="E44" s="85">
        <f t="shared" si="3"/>
        <v>-178500</v>
      </c>
    </row>
    <row r="45" spans="1:5" s="77" customFormat="1" ht="15.75" customHeight="1">
      <c r="A45" s="48" t="s">
        <v>47</v>
      </c>
      <c r="B45" s="31">
        <v>0</v>
      </c>
      <c r="C45" s="87">
        <v>0</v>
      </c>
      <c r="D45" s="84" t="str">
        <f t="shared" si="2"/>
        <v>   </v>
      </c>
      <c r="E45" s="85">
        <f t="shared" si="3"/>
        <v>0</v>
      </c>
    </row>
    <row r="46" spans="1:5" s="77" customFormat="1" ht="12.75" customHeight="1" hidden="1">
      <c r="A46" s="48" t="s">
        <v>29</v>
      </c>
      <c r="B46" s="31">
        <v>55000</v>
      </c>
      <c r="C46" s="87">
        <v>26448</v>
      </c>
      <c r="D46" s="84"/>
      <c r="E46" s="85"/>
    </row>
    <row r="47" spans="1:5" s="77" customFormat="1" ht="12.75" customHeight="1" hidden="1">
      <c r="A47" s="48" t="s">
        <v>31</v>
      </c>
      <c r="B47" s="31"/>
      <c r="C47" s="87">
        <v>5250</v>
      </c>
      <c r="D47" s="84"/>
      <c r="E47" s="85"/>
    </row>
    <row r="48" spans="1:5" s="77" customFormat="1" ht="12.75" customHeight="1" hidden="1">
      <c r="A48" s="48" t="s">
        <v>21</v>
      </c>
      <c r="B48" s="31">
        <v>29625</v>
      </c>
      <c r="C48" s="31">
        <v>0</v>
      </c>
      <c r="D48" s="84" t="e">
        <f>IF(#REF!=0,"   ",C48/#REF!)</f>
        <v>#REF!</v>
      </c>
      <c r="E48" s="85" t="e">
        <f>C48-#REF!</f>
        <v>#REF!</v>
      </c>
    </row>
    <row r="49" spans="1:5" s="77" customFormat="1" ht="12.75" customHeight="1" hidden="1">
      <c r="A49" s="48" t="s">
        <v>22</v>
      </c>
      <c r="B49" s="31">
        <v>244300</v>
      </c>
      <c r="C49" s="31">
        <v>367600</v>
      </c>
      <c r="D49" s="84" t="e">
        <f>IF(#REF!=0,"   ",C49/#REF!)</f>
        <v>#REF!</v>
      </c>
      <c r="E49" s="85" t="e">
        <f>C49-#REF!</f>
        <v>#REF!</v>
      </c>
    </row>
    <row r="50" spans="1:5" s="77" customFormat="1" ht="12.75" customHeight="1" hidden="1">
      <c r="A50" s="48" t="s">
        <v>30</v>
      </c>
      <c r="B50" s="31"/>
      <c r="C50" s="87">
        <v>2506</v>
      </c>
      <c r="D50" s="84" t="e">
        <f>IF(#REF!=0,"   ",C50/#REF!)</f>
        <v>#REF!</v>
      </c>
      <c r="E50" s="85" t="e">
        <f>C50-#REF!</f>
        <v>#REF!</v>
      </c>
    </row>
    <row r="51" spans="1:5" s="9" customFormat="1" ht="12.75" customHeight="1" hidden="1">
      <c r="A51" s="78" t="s">
        <v>11</v>
      </c>
      <c r="B51" s="51">
        <f>SUM(B6,B29)</f>
        <v>1769925</v>
      </c>
      <c r="C51" s="83" t="e">
        <f>SUM(C6,C29)</f>
        <v>#REF!</v>
      </c>
      <c r="D51" s="80" t="e">
        <f>IF(#REF!=0,"   ",C51/#REF!)</f>
        <v>#REF!</v>
      </c>
      <c r="E51" s="90" t="e">
        <f>C51-#REF!</f>
        <v>#REF!</v>
      </c>
    </row>
    <row r="52" spans="1:5" s="77" customFormat="1" ht="12.75" customHeight="1" hidden="1">
      <c r="A52" s="48" t="s">
        <v>26</v>
      </c>
      <c r="B52" s="31">
        <v>32964487</v>
      </c>
      <c r="C52" s="87">
        <v>30880729</v>
      </c>
      <c r="D52" s="84" t="e">
        <f>IF(#REF!=0,"   ",C52/#REF!)</f>
        <v>#REF!</v>
      </c>
      <c r="E52" s="85" t="e">
        <f>C52-#REF!</f>
        <v>#REF!</v>
      </c>
    </row>
    <row r="53" spans="1:5" s="77" customFormat="1" ht="12.75" customHeight="1" hidden="1">
      <c r="A53" s="48" t="s">
        <v>27</v>
      </c>
      <c r="B53" s="31">
        <v>42809000</v>
      </c>
      <c r="C53" s="87">
        <v>42809000</v>
      </c>
      <c r="D53" s="84" t="e">
        <f>IF(#REF!=0,"   ",C53/#REF!)</f>
        <v>#REF!</v>
      </c>
      <c r="E53" s="85" t="e">
        <f>C53-#REF!</f>
        <v>#REF!</v>
      </c>
    </row>
    <row r="54" spans="1:5" s="77" customFormat="1" ht="12.75" customHeight="1" hidden="1">
      <c r="A54" s="48" t="s">
        <v>36</v>
      </c>
      <c r="B54" s="31">
        <v>1300000</v>
      </c>
      <c r="C54" s="89">
        <v>1300000</v>
      </c>
      <c r="D54" s="84" t="e">
        <f>IF(#REF!=0,"   ",C54/#REF!)</f>
        <v>#REF!</v>
      </c>
      <c r="E54" s="85" t="e">
        <f>C54-#REF!</f>
        <v>#REF!</v>
      </c>
    </row>
    <row r="55" spans="1:5" s="77" customFormat="1" ht="12.75" customHeight="1" hidden="1">
      <c r="A55" s="48" t="s">
        <v>11</v>
      </c>
      <c r="B55" s="31"/>
      <c r="C55" s="89"/>
      <c r="D55" s="84" t="e">
        <f>IF(#REF!=0,"   ",C55/#REF!)</f>
        <v>#REF!</v>
      </c>
      <c r="E55" s="85" t="e">
        <f>C55-#REF!</f>
        <v>#REF!</v>
      </c>
    </row>
    <row r="56" spans="1:5" s="77" customFormat="1" ht="12.75" customHeight="1" hidden="1">
      <c r="A56" s="78" t="s">
        <v>12</v>
      </c>
      <c r="B56" s="31">
        <v>0</v>
      </c>
      <c r="C56" s="31">
        <v>0</v>
      </c>
      <c r="D56" s="84" t="e">
        <f>IF(#REF!=0,"   ",C56/#REF!)</f>
        <v>#REF!</v>
      </c>
      <c r="E56" s="85" t="e">
        <f>C56-#REF!</f>
        <v>#REF!</v>
      </c>
    </row>
    <row r="57" spans="1:5" s="77" customFormat="1" ht="12.75" customHeight="1" hidden="1">
      <c r="A57" s="48" t="s">
        <v>13</v>
      </c>
      <c r="B57" s="31">
        <v>0</v>
      </c>
      <c r="C57" s="87">
        <v>0</v>
      </c>
      <c r="D57" s="84" t="e">
        <f>IF(#REF!=0,"   ",C57/#REF!)</f>
        <v>#REF!</v>
      </c>
      <c r="E57" s="85" t="e">
        <f>C57-#REF!</f>
        <v>#REF!</v>
      </c>
    </row>
    <row r="58" spans="1:5" s="77" customFormat="1" ht="36" customHeight="1" hidden="1">
      <c r="A58" s="48" t="s">
        <v>23</v>
      </c>
      <c r="B58" s="31">
        <v>3477561</v>
      </c>
      <c r="C58" s="87">
        <v>2736977</v>
      </c>
      <c r="D58" s="84" t="e">
        <f>IF(#REF!=0,"   ",C58/#REF!)</f>
        <v>#REF!</v>
      </c>
      <c r="E58" s="85" t="e">
        <f>C58-#REF!</f>
        <v>#REF!</v>
      </c>
    </row>
    <row r="59" spans="1:5" s="77" customFormat="1" ht="12.75" customHeight="1" hidden="1">
      <c r="A59" s="48" t="s">
        <v>28</v>
      </c>
      <c r="B59" s="31"/>
      <c r="C59" s="87">
        <v>268613</v>
      </c>
      <c r="D59" s="84" t="e">
        <f>IF(#REF!=0,"   ",C59/#REF!)</f>
        <v>#REF!</v>
      </c>
      <c r="E59" s="85" t="e">
        <f>C59-#REF!</f>
        <v>#REF!</v>
      </c>
    </row>
    <row r="60" spans="1:5" s="77" customFormat="1" ht="21.75" customHeight="1">
      <c r="A60" s="138" t="s">
        <v>14</v>
      </c>
      <c r="B60" s="139">
        <f>SUM(B34,B35,B36:B42,B45)</f>
        <v>4883800</v>
      </c>
      <c r="C60" s="139">
        <f>SUM(C34,C35,C36:C42,C45)</f>
        <v>1024629.84</v>
      </c>
      <c r="D60" s="140">
        <f aca="true" t="shared" si="4" ref="D60:D75">IF(B60=0,"   ",C60/B60*100)</f>
        <v>20.980176092387076</v>
      </c>
      <c r="E60" s="141">
        <f aca="true" t="shared" si="5" ref="E60:E75">C60-B60</f>
        <v>-3859170.16</v>
      </c>
    </row>
    <row r="61" spans="1:5" s="8" customFormat="1" ht="13.5" thickBot="1">
      <c r="A61" s="156" t="s">
        <v>15</v>
      </c>
      <c r="B61" s="157"/>
      <c r="C61" s="158"/>
      <c r="D61" s="132" t="str">
        <f t="shared" si="4"/>
        <v>   </v>
      </c>
      <c r="E61" s="133">
        <f t="shared" si="5"/>
        <v>0</v>
      </c>
    </row>
    <row r="62" spans="1:5" s="77" customFormat="1" ht="13.5" thickBot="1">
      <c r="A62" s="148" t="s">
        <v>48</v>
      </c>
      <c r="B62" s="149">
        <v>772860</v>
      </c>
      <c r="C62" s="149">
        <v>293357.8</v>
      </c>
      <c r="D62" s="136">
        <f t="shared" si="4"/>
        <v>37.95743084129079</v>
      </c>
      <c r="E62" s="137">
        <f t="shared" si="5"/>
        <v>-479502.2</v>
      </c>
    </row>
    <row r="63" spans="1:5" s="77" customFormat="1" ht="12.75">
      <c r="A63" s="146" t="s">
        <v>49</v>
      </c>
      <c r="B63" s="147">
        <v>756800</v>
      </c>
      <c r="C63" s="154">
        <v>293357.8</v>
      </c>
      <c r="D63" s="107">
        <f t="shared" si="4"/>
        <v>38.762922832980976</v>
      </c>
      <c r="E63" s="108">
        <f t="shared" si="5"/>
        <v>-463442.2</v>
      </c>
    </row>
    <row r="64" spans="1:5" s="77" customFormat="1" ht="12.75">
      <c r="A64" s="48" t="s">
        <v>258</v>
      </c>
      <c r="B64" s="31">
        <v>476900</v>
      </c>
      <c r="C64" s="89">
        <v>176883.05</v>
      </c>
      <c r="D64" s="84">
        <f t="shared" si="4"/>
        <v>37.09017613755504</v>
      </c>
      <c r="E64" s="85">
        <f t="shared" si="5"/>
        <v>-300016.95</v>
      </c>
    </row>
    <row r="65" spans="1:5" s="91" customFormat="1" ht="12.75">
      <c r="A65" s="48" t="s">
        <v>212</v>
      </c>
      <c r="B65" s="31">
        <v>100</v>
      </c>
      <c r="C65" s="89">
        <v>0</v>
      </c>
      <c r="D65" s="84">
        <f t="shared" si="4"/>
        <v>0</v>
      </c>
      <c r="E65" s="85">
        <f t="shared" si="5"/>
        <v>-100</v>
      </c>
    </row>
    <row r="66" spans="1:5" s="77" customFormat="1" ht="12.75">
      <c r="A66" s="48" t="s">
        <v>166</v>
      </c>
      <c r="B66" s="31">
        <v>500</v>
      </c>
      <c r="C66" s="89">
        <v>0</v>
      </c>
      <c r="D66" s="84">
        <f t="shared" si="4"/>
        <v>0</v>
      </c>
      <c r="E66" s="85">
        <f t="shared" si="5"/>
        <v>-500</v>
      </c>
    </row>
    <row r="67" spans="1:5" s="77" customFormat="1" ht="12.75">
      <c r="A67" s="48" t="s">
        <v>71</v>
      </c>
      <c r="B67" s="208">
        <f>SUM(B68)</f>
        <v>15560</v>
      </c>
      <c r="C67" s="208">
        <v>0</v>
      </c>
      <c r="D67" s="84">
        <f t="shared" si="4"/>
        <v>0</v>
      </c>
      <c r="E67" s="85">
        <f t="shared" si="5"/>
        <v>-15560</v>
      </c>
    </row>
    <row r="68" spans="1:5" s="77" customFormat="1" ht="25.5" customHeight="1" thickBot="1">
      <c r="A68" s="155" t="s">
        <v>90</v>
      </c>
      <c r="B68" s="130">
        <v>15560</v>
      </c>
      <c r="C68" s="94">
        <v>0</v>
      </c>
      <c r="D68" s="132">
        <f t="shared" si="4"/>
        <v>0</v>
      </c>
      <c r="E68" s="133">
        <f t="shared" si="5"/>
        <v>-15560</v>
      </c>
    </row>
    <row r="69" spans="1:5" s="77" customFormat="1" ht="13.5" thickBot="1">
      <c r="A69" s="148" t="s">
        <v>67</v>
      </c>
      <c r="B69" s="209">
        <f>SUM(B70)</f>
        <v>45900</v>
      </c>
      <c r="C69" s="209">
        <f>SUM(C70)</f>
        <v>19534.19</v>
      </c>
      <c r="D69" s="136">
        <f t="shared" si="4"/>
        <v>42.55814814814814</v>
      </c>
      <c r="E69" s="137">
        <f t="shared" si="5"/>
        <v>-26365.81</v>
      </c>
    </row>
    <row r="70" spans="1:5" s="77" customFormat="1" ht="26.25" thickBot="1">
      <c r="A70" s="104" t="s">
        <v>207</v>
      </c>
      <c r="B70" s="150">
        <v>45900</v>
      </c>
      <c r="C70" s="106">
        <v>19534.19</v>
      </c>
      <c r="D70" s="152">
        <f t="shared" si="4"/>
        <v>42.55814814814814</v>
      </c>
      <c r="E70" s="153">
        <f t="shared" si="5"/>
        <v>-26365.81</v>
      </c>
    </row>
    <row r="71" spans="1:5" s="77" customFormat="1" ht="13.5" thickBot="1">
      <c r="A71" s="148" t="s">
        <v>50</v>
      </c>
      <c r="B71" s="209">
        <f>SUM(B72)</f>
        <v>600</v>
      </c>
      <c r="C71" s="209">
        <f>SUM(C72)</f>
        <v>0</v>
      </c>
      <c r="D71" s="136">
        <f t="shared" si="4"/>
        <v>0</v>
      </c>
      <c r="E71" s="137">
        <f t="shared" si="5"/>
        <v>-600</v>
      </c>
    </row>
    <row r="72" spans="1:5" s="77" customFormat="1" ht="13.5" thickBot="1">
      <c r="A72" s="104" t="s">
        <v>299</v>
      </c>
      <c r="B72" s="150">
        <v>600</v>
      </c>
      <c r="C72" s="106">
        <v>0</v>
      </c>
      <c r="D72" s="152">
        <f t="shared" si="4"/>
        <v>0</v>
      </c>
      <c r="E72" s="153">
        <f t="shared" si="5"/>
        <v>-600</v>
      </c>
    </row>
    <row r="73" spans="1:5" s="77" customFormat="1" ht="13.5" thickBot="1">
      <c r="A73" s="148" t="s">
        <v>51</v>
      </c>
      <c r="B73" s="209">
        <f>SUM(B74)</f>
        <v>0</v>
      </c>
      <c r="C73" s="209">
        <v>0</v>
      </c>
      <c r="D73" s="136" t="str">
        <f t="shared" si="4"/>
        <v>   </v>
      </c>
      <c r="E73" s="137">
        <f t="shared" si="5"/>
        <v>0</v>
      </c>
    </row>
    <row r="74" spans="1:5" s="77" customFormat="1" ht="12.75">
      <c r="A74" s="146" t="s">
        <v>193</v>
      </c>
      <c r="B74" s="147">
        <v>0</v>
      </c>
      <c r="C74" s="147">
        <v>0</v>
      </c>
      <c r="D74" s="107" t="str">
        <f t="shared" si="4"/>
        <v>   </v>
      </c>
      <c r="E74" s="108">
        <f t="shared" si="5"/>
        <v>0</v>
      </c>
    </row>
    <row r="75" spans="1:5" s="77" customFormat="1" ht="13.5" thickBot="1">
      <c r="A75" s="92" t="s">
        <v>205</v>
      </c>
      <c r="B75" s="130">
        <v>0</v>
      </c>
      <c r="C75" s="130">
        <v>0</v>
      </c>
      <c r="D75" s="132" t="str">
        <f t="shared" si="4"/>
        <v>   </v>
      </c>
      <c r="E75" s="133">
        <f t="shared" si="5"/>
        <v>0</v>
      </c>
    </row>
    <row r="76" spans="1:5" s="77" customFormat="1" ht="13.5" thickBot="1">
      <c r="A76" s="148" t="s">
        <v>16</v>
      </c>
      <c r="B76" s="209">
        <f>SUM(B79,B83,)</f>
        <v>620600</v>
      </c>
      <c r="C76" s="209">
        <f>SUM(C79,C83,)</f>
        <v>194529.55</v>
      </c>
      <c r="D76" s="136">
        <f>IF(B76=0,"   ",C76/B76*100)</f>
        <v>31.34539961327747</v>
      </c>
      <c r="E76" s="137">
        <f>C76-B76</f>
        <v>-426070.45</v>
      </c>
    </row>
    <row r="77" spans="1:5" s="77" customFormat="1" ht="12.75" customHeight="1" hidden="1">
      <c r="A77" s="146" t="s">
        <v>53</v>
      </c>
      <c r="B77" s="147" t="e">
        <f>SUM(#REF!,B83,#REF!)</f>
        <v>#REF!</v>
      </c>
      <c r="C77" s="147" t="e">
        <f>SUM(#REF!,C83,#REF!)</f>
        <v>#REF!</v>
      </c>
      <c r="D77" s="107" t="e">
        <f>IF(#REF!=0,"   ",C77/#REF!)</f>
        <v>#REF!</v>
      </c>
      <c r="E77" s="108" t="e">
        <f>C77-#REF!</f>
        <v>#REF!</v>
      </c>
    </row>
    <row r="78" spans="1:5" s="77" customFormat="1" ht="12.75" customHeight="1" hidden="1">
      <c r="A78" s="48" t="s">
        <v>25</v>
      </c>
      <c r="B78" s="31">
        <v>851563</v>
      </c>
      <c r="C78" s="87">
        <v>851563</v>
      </c>
      <c r="D78" s="84" t="e">
        <f>IF(#REF!=0,"   ",C78/#REF!)</f>
        <v>#REF!</v>
      </c>
      <c r="E78" s="85" t="e">
        <f>C78-#REF!</f>
        <v>#REF!</v>
      </c>
    </row>
    <row r="79" spans="1:5" s="77" customFormat="1" ht="12.75">
      <c r="A79" s="48" t="s">
        <v>152</v>
      </c>
      <c r="B79" s="31">
        <v>0</v>
      </c>
      <c r="C79" s="31">
        <f>SUM(C80:C81)</f>
        <v>0</v>
      </c>
      <c r="D79" s="84" t="str">
        <f aca="true" t="shared" si="6" ref="D79:D117">IF(B79=0,"   ",C79/B79*100)</f>
        <v>   </v>
      </c>
      <c r="E79" s="85">
        <f aca="true" t="shared" si="7" ref="E79:E117">C79-B79</f>
        <v>0</v>
      </c>
    </row>
    <row r="80" spans="1:5" s="77" customFormat="1" ht="12.75">
      <c r="A80" s="48" t="s">
        <v>190</v>
      </c>
      <c r="B80" s="31">
        <v>0</v>
      </c>
      <c r="C80" s="87">
        <v>0</v>
      </c>
      <c r="D80" s="84" t="str">
        <f t="shared" si="6"/>
        <v>   </v>
      </c>
      <c r="E80" s="85">
        <f t="shared" si="7"/>
        <v>0</v>
      </c>
    </row>
    <row r="81" spans="1:5" s="77" customFormat="1" ht="12.75">
      <c r="A81" s="48" t="s">
        <v>191</v>
      </c>
      <c r="B81" s="31">
        <v>0</v>
      </c>
      <c r="C81" s="87">
        <v>0</v>
      </c>
      <c r="D81" s="84" t="str">
        <f t="shared" si="6"/>
        <v>   </v>
      </c>
      <c r="E81" s="85">
        <f t="shared" si="7"/>
        <v>0</v>
      </c>
    </row>
    <row r="82" spans="1:5" s="77" customFormat="1" ht="12.75">
      <c r="A82" s="48" t="s">
        <v>206</v>
      </c>
      <c r="B82" s="31">
        <v>0</v>
      </c>
      <c r="C82" s="87">
        <v>0</v>
      </c>
      <c r="D82" s="84" t="str">
        <f t="shared" si="6"/>
        <v>   </v>
      </c>
      <c r="E82" s="85">
        <f t="shared" si="7"/>
        <v>0</v>
      </c>
    </row>
    <row r="83" spans="1:5" s="77" customFormat="1" ht="12.75">
      <c r="A83" s="48" t="s">
        <v>84</v>
      </c>
      <c r="B83" s="31">
        <v>620600</v>
      </c>
      <c r="C83" s="31">
        <v>194529.55</v>
      </c>
      <c r="D83" s="84">
        <f t="shared" si="6"/>
        <v>31.34539961327747</v>
      </c>
      <c r="E83" s="85">
        <f t="shared" si="7"/>
        <v>-426070.45</v>
      </c>
    </row>
    <row r="84" spans="1:5" s="77" customFormat="1" ht="15" customHeight="1">
      <c r="A84" s="48" t="s">
        <v>82</v>
      </c>
      <c r="B84" s="31">
        <v>180000</v>
      </c>
      <c r="C84" s="87">
        <v>95529.55</v>
      </c>
      <c r="D84" s="84">
        <f t="shared" si="6"/>
        <v>53.07197222222222</v>
      </c>
      <c r="E84" s="85">
        <f t="shared" si="7"/>
        <v>-84470.45</v>
      </c>
    </row>
    <row r="85" spans="1:5" s="77" customFormat="1" ht="12.75" customHeight="1">
      <c r="A85" s="48" t="s">
        <v>126</v>
      </c>
      <c r="B85" s="31">
        <v>228000</v>
      </c>
      <c r="C85" s="87">
        <v>49500</v>
      </c>
      <c r="D85" s="84">
        <f t="shared" si="6"/>
        <v>21.710526315789476</v>
      </c>
      <c r="E85" s="85">
        <f t="shared" si="7"/>
        <v>-178500</v>
      </c>
    </row>
    <row r="86" spans="1:5" s="77" customFormat="1" ht="15" customHeight="1">
      <c r="A86" s="48" t="s">
        <v>127</v>
      </c>
      <c r="B86" s="31">
        <v>140000</v>
      </c>
      <c r="C86" s="87">
        <v>49500</v>
      </c>
      <c r="D86" s="84">
        <f t="shared" si="6"/>
        <v>35.35714285714286</v>
      </c>
      <c r="E86" s="85">
        <f t="shared" si="7"/>
        <v>-90500</v>
      </c>
    </row>
    <row r="87" spans="1:5" s="77" customFormat="1" ht="12.75" customHeight="1" thickBot="1">
      <c r="A87" s="92" t="s">
        <v>83</v>
      </c>
      <c r="B87" s="130">
        <v>72600</v>
      </c>
      <c r="C87" s="145">
        <v>0</v>
      </c>
      <c r="D87" s="132">
        <f t="shared" si="6"/>
        <v>0</v>
      </c>
      <c r="E87" s="133">
        <f t="shared" si="7"/>
        <v>-72600</v>
      </c>
    </row>
    <row r="88" spans="1:5" s="77" customFormat="1" ht="15" customHeight="1" thickBot="1">
      <c r="A88" s="148" t="s">
        <v>24</v>
      </c>
      <c r="B88" s="149">
        <v>6000</v>
      </c>
      <c r="C88" s="149">
        <v>1600</v>
      </c>
      <c r="D88" s="136">
        <f t="shared" si="6"/>
        <v>26.666666666666668</v>
      </c>
      <c r="E88" s="137">
        <f t="shared" si="7"/>
        <v>-4400</v>
      </c>
    </row>
    <row r="89" spans="1:5" s="77" customFormat="1" ht="13.5" thickBot="1">
      <c r="A89" s="148" t="s">
        <v>54</v>
      </c>
      <c r="B89" s="210">
        <f>SUM(B90)</f>
        <v>2147340</v>
      </c>
      <c r="C89" s="209">
        <f>SUM(C90)</f>
        <v>494844.68</v>
      </c>
      <c r="D89" s="136">
        <f t="shared" si="6"/>
        <v>23.044542550318067</v>
      </c>
      <c r="E89" s="137">
        <f t="shared" si="7"/>
        <v>-1652495.32</v>
      </c>
    </row>
    <row r="90" spans="1:5" s="77" customFormat="1" ht="12.75">
      <c r="A90" s="146" t="s">
        <v>55</v>
      </c>
      <c r="B90" s="147">
        <v>2147340</v>
      </c>
      <c r="C90" s="154">
        <v>494844.68</v>
      </c>
      <c r="D90" s="107">
        <f t="shared" si="6"/>
        <v>23.044542550318067</v>
      </c>
      <c r="E90" s="108">
        <f t="shared" si="7"/>
        <v>-1652495.32</v>
      </c>
    </row>
    <row r="91" spans="1:5" s="77" customFormat="1" ht="12.75">
      <c r="A91" s="48" t="s">
        <v>258</v>
      </c>
      <c r="B91" s="31">
        <v>707600</v>
      </c>
      <c r="C91" s="87">
        <v>285997.9</v>
      </c>
      <c r="D91" s="84">
        <f t="shared" si="6"/>
        <v>40.418018654607124</v>
      </c>
      <c r="E91" s="85">
        <f t="shared" si="7"/>
        <v>-421602.1</v>
      </c>
    </row>
    <row r="92" spans="1:5" s="77" customFormat="1" ht="12.75">
      <c r="A92" s="48" t="s">
        <v>208</v>
      </c>
      <c r="B92" s="31">
        <v>3800</v>
      </c>
      <c r="C92" s="87">
        <v>0</v>
      </c>
      <c r="D92" s="84">
        <f t="shared" si="6"/>
        <v>0</v>
      </c>
      <c r="E92" s="85">
        <f t="shared" si="7"/>
        <v>-3800</v>
      </c>
    </row>
    <row r="93" spans="1:5" s="77" customFormat="1" ht="13.5" thickBot="1">
      <c r="A93" s="92" t="s">
        <v>314</v>
      </c>
      <c r="B93" s="130">
        <v>784000</v>
      </c>
      <c r="C93" s="94">
        <v>0</v>
      </c>
      <c r="D93" s="132">
        <f t="shared" si="6"/>
        <v>0</v>
      </c>
      <c r="E93" s="133">
        <f t="shared" si="7"/>
        <v>-784000</v>
      </c>
    </row>
    <row r="94" spans="1:5" s="77" customFormat="1" ht="13.5" thickBot="1">
      <c r="A94" s="148" t="s">
        <v>266</v>
      </c>
      <c r="B94" s="210">
        <f>SUM(B95)</f>
        <v>20000</v>
      </c>
      <c r="C94" s="210">
        <f>SUM(C95)</f>
        <v>6500</v>
      </c>
      <c r="D94" s="136">
        <f t="shared" si="6"/>
        <v>32.5</v>
      </c>
      <c r="E94" s="137">
        <f t="shared" si="7"/>
        <v>-13500</v>
      </c>
    </row>
    <row r="95" spans="1:5" s="77" customFormat="1" ht="13.5" thickBot="1">
      <c r="A95" s="104" t="s">
        <v>56</v>
      </c>
      <c r="B95" s="150">
        <v>20000</v>
      </c>
      <c r="C95" s="151">
        <v>6500</v>
      </c>
      <c r="D95" s="152">
        <f t="shared" si="6"/>
        <v>32.5</v>
      </c>
      <c r="E95" s="153">
        <f t="shared" si="7"/>
        <v>-13500</v>
      </c>
    </row>
    <row r="96" spans="1:5" s="77" customFormat="1" ht="13.5" thickBot="1">
      <c r="A96" s="148" t="s">
        <v>18</v>
      </c>
      <c r="B96" s="209">
        <f>SUM(B97)</f>
        <v>1320500</v>
      </c>
      <c r="C96" s="209">
        <f>SUM(C97)</f>
        <v>0</v>
      </c>
      <c r="D96" s="136">
        <f t="shared" si="6"/>
        <v>0</v>
      </c>
      <c r="E96" s="137">
        <f t="shared" si="7"/>
        <v>-1320500</v>
      </c>
    </row>
    <row r="97" spans="1:5" s="77" customFormat="1" ht="12.75">
      <c r="A97" s="146" t="s">
        <v>276</v>
      </c>
      <c r="B97" s="211">
        <f>SUM(B114,B107,B98)</f>
        <v>1320500</v>
      </c>
      <c r="C97" s="211">
        <f>SUM(C114,C107,C98)</f>
        <v>0</v>
      </c>
      <c r="D97" s="107">
        <f t="shared" si="6"/>
        <v>0</v>
      </c>
      <c r="E97" s="108">
        <f t="shared" si="7"/>
        <v>-1320500</v>
      </c>
    </row>
    <row r="98" spans="1:5" s="77" customFormat="1" ht="12.75">
      <c r="A98" s="159" t="s">
        <v>274</v>
      </c>
      <c r="B98" s="199">
        <f>SUM(B99,B103)</f>
        <v>711000</v>
      </c>
      <c r="C98" s="199">
        <f>SUM(C99:C103)</f>
        <v>0</v>
      </c>
      <c r="D98" s="84">
        <f t="shared" si="6"/>
        <v>0</v>
      </c>
      <c r="E98" s="85">
        <f t="shared" si="7"/>
        <v>-711000</v>
      </c>
    </row>
    <row r="99" spans="1:5" s="77" customFormat="1" ht="24.75" customHeight="1">
      <c r="A99" s="48" t="s">
        <v>277</v>
      </c>
      <c r="B99" s="208">
        <f>SUM(B100:B102)</f>
        <v>711000</v>
      </c>
      <c r="C99" s="208">
        <f>SUM(C100:C102)</f>
        <v>0</v>
      </c>
      <c r="D99" s="84">
        <f t="shared" si="6"/>
        <v>0</v>
      </c>
      <c r="E99" s="85">
        <f t="shared" si="7"/>
        <v>-711000</v>
      </c>
    </row>
    <row r="100" spans="1:5" s="77" customFormat="1" ht="15.75" customHeight="1">
      <c r="A100" s="48" t="s">
        <v>287</v>
      </c>
      <c r="B100" s="31">
        <v>663500</v>
      </c>
      <c r="C100" s="87"/>
      <c r="D100" s="84">
        <f t="shared" si="6"/>
        <v>0</v>
      </c>
      <c r="E100" s="85">
        <f t="shared" si="7"/>
        <v>-663500</v>
      </c>
    </row>
    <row r="101" spans="1:5" s="77" customFormat="1" ht="13.5" customHeight="1">
      <c r="A101" s="48" t="s">
        <v>288</v>
      </c>
      <c r="B101" s="31"/>
      <c r="C101" s="87"/>
      <c r="D101" s="84" t="str">
        <f t="shared" si="6"/>
        <v>   </v>
      </c>
      <c r="E101" s="85">
        <f t="shared" si="7"/>
        <v>0</v>
      </c>
    </row>
    <row r="102" spans="1:5" s="77" customFormat="1" ht="15" customHeight="1">
      <c r="A102" s="48" t="s">
        <v>289</v>
      </c>
      <c r="B102" s="31">
        <v>47500</v>
      </c>
      <c r="C102" s="87"/>
      <c r="D102" s="84">
        <f t="shared" si="6"/>
        <v>0</v>
      </c>
      <c r="E102" s="85">
        <f t="shared" si="7"/>
        <v>-47500</v>
      </c>
    </row>
    <row r="103" spans="1:5" s="77" customFormat="1" ht="24.75" customHeight="1">
      <c r="A103" s="48" t="s">
        <v>278</v>
      </c>
      <c r="B103" s="208">
        <f>SUM(B104:B106)</f>
        <v>0</v>
      </c>
      <c r="C103" s="208">
        <f>SUM(C104:C106)</f>
        <v>0</v>
      </c>
      <c r="D103" s="84" t="str">
        <f t="shared" si="6"/>
        <v>   </v>
      </c>
      <c r="E103" s="85">
        <f t="shared" si="7"/>
        <v>0</v>
      </c>
    </row>
    <row r="104" spans="1:5" s="77" customFormat="1" ht="15" customHeight="1">
      <c r="A104" s="48" t="s">
        <v>287</v>
      </c>
      <c r="B104" s="31">
        <v>0</v>
      </c>
      <c r="C104" s="87"/>
      <c r="D104" s="84" t="str">
        <f t="shared" si="6"/>
        <v>   </v>
      </c>
      <c r="E104" s="85">
        <f t="shared" si="7"/>
        <v>0</v>
      </c>
    </row>
    <row r="105" spans="1:5" s="77" customFormat="1" ht="12" customHeight="1">
      <c r="A105" s="48" t="s">
        <v>288</v>
      </c>
      <c r="B105" s="31">
        <v>0</v>
      </c>
      <c r="C105" s="87"/>
      <c r="D105" s="84" t="str">
        <f t="shared" si="6"/>
        <v>   </v>
      </c>
      <c r="E105" s="85">
        <f t="shared" si="7"/>
        <v>0</v>
      </c>
    </row>
    <row r="106" spans="1:5" s="77" customFormat="1" ht="14.25" customHeight="1">
      <c r="A106" s="48" t="s">
        <v>289</v>
      </c>
      <c r="B106" s="31">
        <v>0</v>
      </c>
      <c r="C106" s="87"/>
      <c r="D106" s="84" t="str">
        <f t="shared" si="6"/>
        <v>   </v>
      </c>
      <c r="E106" s="85">
        <f t="shared" si="7"/>
        <v>0</v>
      </c>
    </row>
    <row r="107" spans="1:5" s="77" customFormat="1" ht="14.25" customHeight="1">
      <c r="A107" s="159" t="s">
        <v>275</v>
      </c>
      <c r="B107" s="199">
        <f>SUM(B108,B111)</f>
        <v>324500</v>
      </c>
      <c r="C107" s="199">
        <f>SUM(C108:C111)</f>
        <v>0</v>
      </c>
      <c r="D107" s="84">
        <f t="shared" si="6"/>
        <v>0</v>
      </c>
      <c r="E107" s="85">
        <f t="shared" si="7"/>
        <v>-324500</v>
      </c>
    </row>
    <row r="108" spans="1:5" s="77" customFormat="1" ht="26.25" customHeight="1">
      <c r="A108" s="119" t="s">
        <v>279</v>
      </c>
      <c r="B108" s="212">
        <f>SUM(B109:B110)</f>
        <v>324500</v>
      </c>
      <c r="C108" s="212">
        <f>SUM(C109:C110)</f>
        <v>0</v>
      </c>
      <c r="D108" s="84">
        <f t="shared" si="6"/>
        <v>0</v>
      </c>
      <c r="E108" s="85">
        <f t="shared" si="7"/>
        <v>-324500</v>
      </c>
    </row>
    <row r="109" spans="1:5" s="77" customFormat="1" ht="14.25" customHeight="1">
      <c r="A109" s="48" t="s">
        <v>288</v>
      </c>
      <c r="B109" s="117">
        <v>324500</v>
      </c>
      <c r="C109" s="122"/>
      <c r="D109" s="84">
        <f t="shared" si="6"/>
        <v>0</v>
      </c>
      <c r="E109" s="85">
        <f t="shared" si="7"/>
        <v>-324500</v>
      </c>
    </row>
    <row r="110" spans="1:5" s="77" customFormat="1" ht="14.25" customHeight="1">
      <c r="A110" s="48" t="s">
        <v>289</v>
      </c>
      <c r="B110" s="117">
        <v>0</v>
      </c>
      <c r="C110" s="122"/>
      <c r="D110" s="84" t="str">
        <f t="shared" si="6"/>
        <v>   </v>
      </c>
      <c r="E110" s="85">
        <f t="shared" si="7"/>
        <v>0</v>
      </c>
    </row>
    <row r="111" spans="1:5" s="77" customFormat="1" ht="26.25" customHeight="1">
      <c r="A111" s="119" t="s">
        <v>278</v>
      </c>
      <c r="B111" s="212">
        <f>SUM(B112:B113)</f>
        <v>0</v>
      </c>
      <c r="C111" s="212">
        <f>SUM(C112:C113)</f>
        <v>0</v>
      </c>
      <c r="D111" s="84" t="str">
        <f t="shared" si="6"/>
        <v>   </v>
      </c>
      <c r="E111" s="85">
        <f t="shared" si="7"/>
        <v>0</v>
      </c>
    </row>
    <row r="112" spans="1:5" s="77" customFormat="1" ht="14.25" customHeight="1">
      <c r="A112" s="48" t="s">
        <v>288</v>
      </c>
      <c r="B112" s="117">
        <v>0</v>
      </c>
      <c r="C112" s="122"/>
      <c r="D112" s="84" t="str">
        <f t="shared" si="6"/>
        <v>   </v>
      </c>
      <c r="E112" s="85">
        <f t="shared" si="7"/>
        <v>0</v>
      </c>
    </row>
    <row r="113" spans="1:5" s="77" customFormat="1" ht="12.75" customHeight="1">
      <c r="A113" s="48" t="s">
        <v>289</v>
      </c>
      <c r="B113" s="117">
        <v>0</v>
      </c>
      <c r="C113" s="122"/>
      <c r="D113" s="84" t="str">
        <f t="shared" si="6"/>
        <v>   </v>
      </c>
      <c r="E113" s="85">
        <f t="shared" si="7"/>
        <v>0</v>
      </c>
    </row>
    <row r="114" spans="1:5" s="77" customFormat="1" ht="16.5" customHeight="1">
      <c r="A114" s="159" t="s">
        <v>280</v>
      </c>
      <c r="B114" s="199">
        <f>SUM(B115:B117)</f>
        <v>285000</v>
      </c>
      <c r="C114" s="199">
        <f>SUM(C115:C117)</f>
        <v>0</v>
      </c>
      <c r="D114" s="84">
        <f t="shared" si="6"/>
        <v>0</v>
      </c>
      <c r="E114" s="85">
        <f t="shared" si="7"/>
        <v>-285000</v>
      </c>
    </row>
    <row r="115" spans="1:5" s="77" customFormat="1" ht="16.5" customHeight="1">
      <c r="A115" s="48" t="s">
        <v>287</v>
      </c>
      <c r="B115" s="121">
        <v>0</v>
      </c>
      <c r="C115" s="122"/>
      <c r="D115" s="84" t="str">
        <f t="shared" si="6"/>
        <v>   </v>
      </c>
      <c r="E115" s="85">
        <f t="shared" si="7"/>
        <v>0</v>
      </c>
    </row>
    <row r="116" spans="1:5" s="77" customFormat="1" ht="16.5" customHeight="1">
      <c r="A116" s="48" t="s">
        <v>288</v>
      </c>
      <c r="B116" s="121">
        <v>228000</v>
      </c>
      <c r="C116" s="122"/>
      <c r="D116" s="84">
        <f t="shared" si="6"/>
        <v>0</v>
      </c>
      <c r="E116" s="85">
        <f t="shared" si="7"/>
        <v>-228000</v>
      </c>
    </row>
    <row r="117" spans="1:5" s="77" customFormat="1" ht="16.5" customHeight="1">
      <c r="A117" s="48" t="s">
        <v>289</v>
      </c>
      <c r="B117" s="121">
        <v>57000</v>
      </c>
      <c r="C117" s="122"/>
      <c r="D117" s="84">
        <f t="shared" si="6"/>
        <v>0</v>
      </c>
      <c r="E117" s="85">
        <f t="shared" si="7"/>
        <v>-57000</v>
      </c>
    </row>
    <row r="118" spans="1:5" s="77" customFormat="1" ht="16.5" customHeight="1">
      <c r="A118" s="138" t="s">
        <v>19</v>
      </c>
      <c r="B118" s="139">
        <f>SUM(B62,B69,B71,B73,B76,B88,B89,B94,B96,)</f>
        <v>4933800</v>
      </c>
      <c r="C118" s="139">
        <f>SUM(C62,C69,C71,C73,C76,C88,C89,C94,C96,)</f>
        <v>1010366.22</v>
      </c>
      <c r="D118" s="140">
        <f>IF(B118=0,"   ",C118/B118*100)</f>
        <v>20.478459199805425</v>
      </c>
      <c r="E118" s="141">
        <f>C118-B118</f>
        <v>-3923433.7800000003</v>
      </c>
    </row>
    <row r="119" spans="1:5" s="77" customFormat="1" ht="13.5" thickBot="1">
      <c r="A119" s="95" t="s">
        <v>262</v>
      </c>
      <c r="B119" s="214">
        <f>B64+B91</f>
        <v>1184500</v>
      </c>
      <c r="C119" s="214">
        <f>C64+C91</f>
        <v>462880.95</v>
      </c>
      <c r="D119" s="109">
        <f>IF(B119=0,"   ",C119/B119*100)</f>
        <v>39.07817222456733</v>
      </c>
      <c r="E119" s="110">
        <f>C119-B119</f>
        <v>-721619.05</v>
      </c>
    </row>
    <row r="120" spans="1:5" s="77" customFormat="1" ht="12.75" customHeight="1" hidden="1">
      <c r="A120" s="104" t="s">
        <v>32</v>
      </c>
      <c r="B120" s="105"/>
      <c r="C120" s="106"/>
      <c r="D120" s="107" t="e">
        <f>IF(#REF!=0,"   ",C120/#REF!)</f>
        <v>#REF!</v>
      </c>
      <c r="E120" s="108" t="e">
        <f>C120-#REF!</f>
        <v>#REF!</v>
      </c>
    </row>
    <row r="121" spans="1:5" s="77" customFormat="1" ht="12.75" customHeight="1" hidden="1">
      <c r="A121" s="92" t="s">
        <v>33</v>
      </c>
      <c r="B121" s="93">
        <v>1122919</v>
      </c>
      <c r="C121" s="94">
        <v>815256</v>
      </c>
      <c r="D121" s="84" t="e">
        <f>IF(#REF!=0,"   ",C121/#REF!)</f>
        <v>#REF!</v>
      </c>
      <c r="E121" s="85" t="e">
        <f>C121-#REF!</f>
        <v>#REF!</v>
      </c>
    </row>
    <row r="122" spans="1:5" s="77" customFormat="1" ht="13.5" customHeight="1" hidden="1" thickBot="1">
      <c r="A122" s="95" t="s">
        <v>34</v>
      </c>
      <c r="B122" s="96">
        <v>1700000</v>
      </c>
      <c r="C122" s="97">
        <v>1700000</v>
      </c>
      <c r="D122" s="84" t="e">
        <f>IF(#REF!=0,"   ",C122/#REF!)</f>
        <v>#REF!</v>
      </c>
      <c r="E122" s="85" t="e">
        <f>C122-#REF!</f>
        <v>#REF!</v>
      </c>
    </row>
    <row r="123" spans="1:5" s="77" customFormat="1" ht="23.25" customHeight="1">
      <c r="A123" s="111" t="s">
        <v>317</v>
      </c>
      <c r="B123" s="111"/>
      <c r="C123" s="235"/>
      <c r="D123" s="235"/>
      <c r="E123" s="235"/>
    </row>
    <row r="124" spans="1:5" s="77" customFormat="1" ht="12" customHeight="1">
      <c r="A124" s="111" t="s">
        <v>318</v>
      </c>
      <c r="B124" s="111"/>
      <c r="C124" s="112" t="s">
        <v>319</v>
      </c>
      <c r="D124" s="113"/>
      <c r="E124" s="114"/>
    </row>
    <row r="125" spans="1:5" s="7" customFormat="1" ht="12.75">
      <c r="A125" s="45"/>
      <c r="B125" s="45"/>
      <c r="C125" s="46"/>
      <c r="D125" s="45"/>
      <c r="E125" s="47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  <row r="131" spans="3:5" s="7" customFormat="1" ht="12.75">
      <c r="C131" s="6"/>
      <c r="E131" s="2"/>
    </row>
    <row r="132" spans="3:5" s="7" customFormat="1" ht="12.75">
      <c r="C132" s="6"/>
      <c r="E132" s="2"/>
    </row>
    <row r="133" spans="3:5" s="7" customFormat="1" ht="12.75">
      <c r="C133" s="6"/>
      <c r="E133" s="2"/>
    </row>
    <row r="134" spans="3:5" s="7" customFormat="1" ht="12.75">
      <c r="C134" s="6"/>
      <c r="E134" s="2"/>
    </row>
  </sheetData>
  <mergeCells count="2">
    <mergeCell ref="C123:E123"/>
    <mergeCell ref="A1:E1"/>
  </mergeCells>
  <printOptions horizontalCentered="1" verticalCentered="1"/>
  <pageMargins left="0.5905511811023623" right="0.5905511811023623" top="0.35433070866141736" bottom="0.1968503937007874" header="0.11811023622047245" footer="0.1181102362204724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workbookViewId="0" topLeftCell="A59">
      <selection activeCell="A91" sqref="A91:E92"/>
    </sheetView>
  </sheetViews>
  <sheetFormatPr defaultColWidth="9.00390625" defaultRowHeight="12.75"/>
  <cols>
    <col min="1" max="1" width="92.875" style="0" customWidth="1"/>
    <col min="2" max="2" width="16.125" style="0" customWidth="1"/>
    <col min="3" max="3" width="18.75390625" style="0" customWidth="1"/>
    <col min="4" max="4" width="17.375" style="0" customWidth="1"/>
    <col min="5" max="5" width="19.25390625" style="0" customWidth="1"/>
  </cols>
  <sheetData>
    <row r="1" spans="1:5" ht="18">
      <c r="A1" s="237" t="s">
        <v>304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59.25" customHeight="1">
      <c r="A4" s="35" t="s">
        <v>1</v>
      </c>
      <c r="B4" s="19" t="s">
        <v>254</v>
      </c>
      <c r="C4" s="32" t="s">
        <v>303</v>
      </c>
      <c r="D4" s="19" t="s">
        <v>250</v>
      </c>
      <c r="E4" s="102" t="s">
        <v>255</v>
      </c>
    </row>
    <row r="5" spans="1:5" ht="12.75">
      <c r="A5" s="13">
        <v>1</v>
      </c>
      <c r="B5" s="98"/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2">
        <f>SUM(B8)</f>
        <v>123600</v>
      </c>
      <c r="C7" s="192">
        <f>SUM(C8)</f>
        <v>31608.41</v>
      </c>
      <c r="D7" s="26">
        <f aca="true" t="shared" si="0" ref="D7:D70">IF(B7=0,"   ",C7/B7*100)</f>
        <v>25.573147249190935</v>
      </c>
      <c r="E7" s="50">
        <f aca="true" t="shared" si="1" ref="E7:E90">C7-B7</f>
        <v>-91991.59</v>
      </c>
    </row>
    <row r="8" spans="1:5" ht="12.75">
      <c r="A8" s="16" t="s">
        <v>57</v>
      </c>
      <c r="B8" s="25">
        <v>123600</v>
      </c>
      <c r="C8" s="27">
        <v>31608.41</v>
      </c>
      <c r="D8" s="26">
        <f t="shared" si="0"/>
        <v>25.573147249190935</v>
      </c>
      <c r="E8" s="50">
        <f t="shared" si="1"/>
        <v>-91991.59</v>
      </c>
    </row>
    <row r="9" spans="1:5" ht="12.75">
      <c r="A9" s="16" t="s">
        <v>7</v>
      </c>
      <c r="B9" s="194">
        <f>SUM(B10:B10)</f>
        <v>3300</v>
      </c>
      <c r="C9" s="194">
        <f>SUM(C10:C10)</f>
        <v>14279.61</v>
      </c>
      <c r="D9" s="26">
        <f t="shared" si="0"/>
        <v>432.7154545454546</v>
      </c>
      <c r="E9" s="50">
        <f t="shared" si="1"/>
        <v>10979.61</v>
      </c>
    </row>
    <row r="10" spans="1:5" ht="15" customHeight="1">
      <c r="A10" s="16" t="s">
        <v>38</v>
      </c>
      <c r="B10" s="25">
        <v>3300</v>
      </c>
      <c r="C10" s="27">
        <v>14279.61</v>
      </c>
      <c r="D10" s="26">
        <f t="shared" si="0"/>
        <v>432.7154545454546</v>
      </c>
      <c r="E10" s="50">
        <f t="shared" si="1"/>
        <v>10979.61</v>
      </c>
    </row>
    <row r="11" spans="1:5" ht="12.75">
      <c r="A11" s="16" t="s">
        <v>9</v>
      </c>
      <c r="B11" s="194">
        <f>SUM(B12:B13)</f>
        <v>264400</v>
      </c>
      <c r="C11" s="194">
        <f>SUM(C12:C13)</f>
        <v>85054.79</v>
      </c>
      <c r="D11" s="26">
        <f t="shared" si="0"/>
        <v>32.168982602118</v>
      </c>
      <c r="E11" s="50">
        <f t="shared" si="1"/>
        <v>-179345.21000000002</v>
      </c>
    </row>
    <row r="12" spans="1:5" ht="12" customHeight="1">
      <c r="A12" s="16" t="s">
        <v>216</v>
      </c>
      <c r="B12" s="25">
        <v>31000</v>
      </c>
      <c r="C12" s="33">
        <v>4984.12</v>
      </c>
      <c r="D12" s="26">
        <f t="shared" si="0"/>
        <v>16.077806451612904</v>
      </c>
      <c r="E12" s="50">
        <f t="shared" si="1"/>
        <v>-26015.88</v>
      </c>
    </row>
    <row r="13" spans="1:5" ht="12.75">
      <c r="A13" s="16" t="s">
        <v>10</v>
      </c>
      <c r="B13" s="25">
        <v>233400</v>
      </c>
      <c r="C13" s="27">
        <v>80070.67</v>
      </c>
      <c r="D13" s="26">
        <f t="shared" si="0"/>
        <v>34.30619965724079</v>
      </c>
      <c r="E13" s="50">
        <f t="shared" si="1"/>
        <v>-153329.33000000002</v>
      </c>
    </row>
    <row r="14" spans="1:5" ht="25.5">
      <c r="A14" s="16" t="s">
        <v>149</v>
      </c>
      <c r="B14" s="25">
        <v>0</v>
      </c>
      <c r="C14" s="25">
        <v>529.57</v>
      </c>
      <c r="D14" s="26" t="str">
        <f t="shared" si="0"/>
        <v>   </v>
      </c>
      <c r="E14" s="50">
        <f t="shared" si="1"/>
        <v>529.57</v>
      </c>
    </row>
    <row r="15" spans="1:5" ht="25.5" customHeight="1">
      <c r="A15" s="16" t="s">
        <v>40</v>
      </c>
      <c r="B15" s="194">
        <f>SUM(B16,B17)</f>
        <v>9000</v>
      </c>
      <c r="C15" s="194">
        <f>SUM(C16,C17)</f>
        <v>290073.45</v>
      </c>
      <c r="D15" s="26">
        <f t="shared" si="0"/>
        <v>3223.0383333333334</v>
      </c>
      <c r="E15" s="50">
        <f t="shared" si="1"/>
        <v>281073.45</v>
      </c>
    </row>
    <row r="16" spans="1:5" ht="12.75">
      <c r="A16" s="16" t="s">
        <v>41</v>
      </c>
      <c r="B16" s="25">
        <v>9000</v>
      </c>
      <c r="C16" s="33">
        <v>290073.45</v>
      </c>
      <c r="D16" s="26">
        <f t="shared" si="0"/>
        <v>3223.0383333333334</v>
      </c>
      <c r="E16" s="50">
        <f t="shared" si="1"/>
        <v>281073.45</v>
      </c>
    </row>
    <row r="17" spans="1:5" ht="26.25" customHeight="1">
      <c r="A17" s="16" t="s">
        <v>42</v>
      </c>
      <c r="B17" s="25">
        <v>0</v>
      </c>
      <c r="C17" s="27">
        <v>0</v>
      </c>
      <c r="D17" s="26" t="str">
        <f t="shared" si="0"/>
        <v>   </v>
      </c>
      <c r="E17" s="50">
        <f t="shared" si="1"/>
        <v>0</v>
      </c>
    </row>
    <row r="18" spans="1:5" ht="20.25" customHeight="1">
      <c r="A18" s="43" t="s">
        <v>153</v>
      </c>
      <c r="B18" s="25">
        <v>0</v>
      </c>
      <c r="C18" s="27">
        <v>0</v>
      </c>
      <c r="D18" s="26" t="str">
        <f t="shared" si="0"/>
        <v>   </v>
      </c>
      <c r="E18" s="50">
        <f t="shared" si="1"/>
        <v>0</v>
      </c>
    </row>
    <row r="19" spans="1:5" ht="15" customHeight="1">
      <c r="A19" s="16" t="s">
        <v>109</v>
      </c>
      <c r="B19" s="194">
        <f>SUM(B20)</f>
        <v>0</v>
      </c>
      <c r="C19" s="194">
        <v>0</v>
      </c>
      <c r="D19" s="26" t="str">
        <f t="shared" si="0"/>
        <v>   </v>
      </c>
      <c r="E19" s="50">
        <f t="shared" si="1"/>
        <v>0</v>
      </c>
    </row>
    <row r="20" spans="1:5" ht="27" customHeight="1">
      <c r="A20" s="16" t="s">
        <v>110</v>
      </c>
      <c r="B20" s="24" t="s">
        <v>165</v>
      </c>
      <c r="C20" s="33">
        <v>0</v>
      </c>
      <c r="D20" s="26"/>
      <c r="E20" s="50">
        <f t="shared" si="1"/>
        <v>0</v>
      </c>
    </row>
    <row r="21" spans="1:5" ht="12.75">
      <c r="A21" s="16" t="s">
        <v>44</v>
      </c>
      <c r="B21" s="194">
        <f>SUM(B22)</f>
        <v>0</v>
      </c>
      <c r="C21" s="194">
        <v>0</v>
      </c>
      <c r="D21" s="26" t="str">
        <f t="shared" si="0"/>
        <v>   </v>
      </c>
      <c r="E21" s="50">
        <f t="shared" si="1"/>
        <v>0</v>
      </c>
    </row>
    <row r="22" spans="1:5" ht="14.25" customHeight="1">
      <c r="A22" s="16" t="s">
        <v>68</v>
      </c>
      <c r="B22" s="25">
        <v>0</v>
      </c>
      <c r="C22" s="27">
        <v>0</v>
      </c>
      <c r="D22" s="26" t="str">
        <f t="shared" si="0"/>
        <v>   </v>
      </c>
      <c r="E22" s="50">
        <f t="shared" si="1"/>
        <v>0</v>
      </c>
    </row>
    <row r="23" spans="1:5" ht="14.2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50">
        <f t="shared" si="1"/>
        <v>0</v>
      </c>
    </row>
    <row r="24" spans="1:5" ht="18" customHeight="1">
      <c r="A24" s="165" t="s">
        <v>11</v>
      </c>
      <c r="B24" s="218">
        <f>SUM(B7,B9,B11,B15,B18,B21,B23,)</f>
        <v>400300</v>
      </c>
      <c r="C24" s="166">
        <f>SUM(C7,C9,C11,C14,C15,C18,C19,C21,C23,)</f>
        <v>421545.83</v>
      </c>
      <c r="D24" s="167">
        <f t="shared" si="0"/>
        <v>105.30747689233075</v>
      </c>
      <c r="E24" s="168">
        <f t="shared" si="1"/>
        <v>21245.830000000016</v>
      </c>
    </row>
    <row r="25" spans="1:5" ht="17.25" customHeight="1">
      <c r="A25" s="17" t="s">
        <v>46</v>
      </c>
      <c r="B25" s="24">
        <v>1009700</v>
      </c>
      <c r="C25" s="24">
        <v>482650</v>
      </c>
      <c r="D25" s="26">
        <f t="shared" si="0"/>
        <v>47.80132712686937</v>
      </c>
      <c r="E25" s="50">
        <f t="shared" si="1"/>
        <v>-527050</v>
      </c>
    </row>
    <row r="26" spans="1:5" ht="17.25" customHeight="1">
      <c r="A26" s="16" t="s">
        <v>65</v>
      </c>
      <c r="B26" s="25">
        <v>375000</v>
      </c>
      <c r="C26" s="27">
        <v>0</v>
      </c>
      <c r="D26" s="26">
        <f t="shared" si="0"/>
        <v>0</v>
      </c>
      <c r="E26" s="50">
        <f t="shared" si="1"/>
        <v>-375000</v>
      </c>
    </row>
    <row r="27" spans="1:5" ht="32.25" customHeight="1">
      <c r="A27" s="201" t="s">
        <v>69</v>
      </c>
      <c r="B27" s="202">
        <v>45900</v>
      </c>
      <c r="C27" s="206">
        <v>45900</v>
      </c>
      <c r="D27" s="203">
        <f t="shared" si="0"/>
        <v>100</v>
      </c>
      <c r="E27" s="204">
        <f t="shared" si="1"/>
        <v>0</v>
      </c>
    </row>
    <row r="28" spans="1:5" ht="26.25" customHeight="1">
      <c r="A28" s="16" t="s">
        <v>70</v>
      </c>
      <c r="B28" s="25">
        <v>100</v>
      </c>
      <c r="C28" s="27">
        <v>0</v>
      </c>
      <c r="D28" s="26">
        <f t="shared" si="0"/>
        <v>0</v>
      </c>
      <c r="E28" s="50">
        <f t="shared" si="1"/>
        <v>-100</v>
      </c>
    </row>
    <row r="29" spans="1:5" ht="52.5" customHeight="1">
      <c r="A29" s="16" t="s">
        <v>113</v>
      </c>
      <c r="B29" s="25">
        <v>0</v>
      </c>
      <c r="C29" s="27">
        <v>0</v>
      </c>
      <c r="D29" s="26" t="str">
        <f t="shared" si="0"/>
        <v>   </v>
      </c>
      <c r="E29" s="50">
        <f t="shared" si="1"/>
        <v>0</v>
      </c>
    </row>
    <row r="30" spans="1:5" ht="25.5" customHeight="1">
      <c r="A30" s="16" t="s">
        <v>142</v>
      </c>
      <c r="B30" s="25">
        <v>0</v>
      </c>
      <c r="C30" s="27">
        <v>0</v>
      </c>
      <c r="D30" s="26" t="str">
        <f t="shared" si="0"/>
        <v>   </v>
      </c>
      <c r="E30" s="50">
        <f t="shared" si="1"/>
        <v>0</v>
      </c>
    </row>
    <row r="31" spans="1:5" ht="18" customHeight="1">
      <c r="A31" s="16" t="s">
        <v>81</v>
      </c>
      <c r="B31" s="25">
        <v>0</v>
      </c>
      <c r="C31" s="27">
        <v>0</v>
      </c>
      <c r="D31" s="26" t="str">
        <f t="shared" si="0"/>
        <v>   </v>
      </c>
      <c r="E31" s="50">
        <f t="shared" si="1"/>
        <v>0</v>
      </c>
    </row>
    <row r="32" spans="1:5" ht="27.75" customHeight="1">
      <c r="A32" s="201" t="s">
        <v>174</v>
      </c>
      <c r="B32" s="202">
        <v>7500</v>
      </c>
      <c r="C32" s="202">
        <v>7500</v>
      </c>
      <c r="D32" s="203">
        <f t="shared" si="0"/>
        <v>100</v>
      </c>
      <c r="E32" s="204">
        <f t="shared" si="1"/>
        <v>0</v>
      </c>
    </row>
    <row r="33" spans="1:5" ht="18" customHeight="1">
      <c r="A33" s="16" t="s">
        <v>114</v>
      </c>
      <c r="B33" s="195">
        <f>B34</f>
        <v>142100</v>
      </c>
      <c r="C33" s="195">
        <f>C34</f>
        <v>40000</v>
      </c>
      <c r="D33" s="26">
        <f t="shared" si="0"/>
        <v>28.149190710767062</v>
      </c>
      <c r="E33" s="50">
        <f t="shared" si="1"/>
        <v>-102100</v>
      </c>
    </row>
    <row r="34" spans="1:5" s="7" customFormat="1" ht="14.25" customHeight="1">
      <c r="A34" s="16" t="s">
        <v>211</v>
      </c>
      <c r="B34" s="65">
        <v>142100</v>
      </c>
      <c r="C34" s="27">
        <v>40000</v>
      </c>
      <c r="D34" s="26">
        <f t="shared" si="0"/>
        <v>28.149190710767062</v>
      </c>
      <c r="E34" s="44">
        <f t="shared" si="1"/>
        <v>-102100</v>
      </c>
    </row>
    <row r="35" spans="1:5" ht="39" customHeight="1">
      <c r="A35" s="16" t="s">
        <v>175</v>
      </c>
      <c r="B35" s="25">
        <v>0</v>
      </c>
      <c r="C35" s="25">
        <v>0</v>
      </c>
      <c r="D35" s="26" t="str">
        <f t="shared" si="0"/>
        <v>   </v>
      </c>
      <c r="E35" s="50">
        <f t="shared" si="1"/>
        <v>0</v>
      </c>
    </row>
    <row r="36" spans="1:5" ht="18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50">
        <f t="shared" si="1"/>
        <v>0</v>
      </c>
    </row>
    <row r="37" spans="1:5" ht="25.5" customHeight="1">
      <c r="A37" s="165" t="s">
        <v>14</v>
      </c>
      <c r="B37" s="169">
        <f>SUM(B24,B25,B26:B33,B35,B36)</f>
        <v>1980600</v>
      </c>
      <c r="C37" s="169">
        <f>SUM(C24,C25,C26:C33,C35,C36)</f>
        <v>997595.8300000001</v>
      </c>
      <c r="D37" s="167">
        <f t="shared" si="0"/>
        <v>50.368364636978704</v>
      </c>
      <c r="E37" s="168">
        <f t="shared" si="1"/>
        <v>-983004.1699999999</v>
      </c>
    </row>
    <row r="38" spans="1:5" ht="14.25" customHeight="1">
      <c r="A38" s="30" t="s">
        <v>66</v>
      </c>
      <c r="B38" s="24"/>
      <c r="C38" s="25"/>
      <c r="D38" s="26" t="str">
        <f t="shared" si="0"/>
        <v>   </v>
      </c>
      <c r="E38" s="50"/>
    </row>
    <row r="39" spans="1:5" ht="12.75">
      <c r="A39" s="22" t="s">
        <v>15</v>
      </c>
      <c r="B39" s="52"/>
      <c r="C39" s="53"/>
      <c r="D39" s="26" t="str">
        <f t="shared" si="0"/>
        <v>   </v>
      </c>
      <c r="E39" s="50"/>
    </row>
    <row r="40" spans="1:5" ht="12.75">
      <c r="A40" s="16" t="s">
        <v>48</v>
      </c>
      <c r="B40" s="25">
        <v>766300</v>
      </c>
      <c r="C40" s="25">
        <v>348578.23</v>
      </c>
      <c r="D40" s="26">
        <f t="shared" si="0"/>
        <v>45.48848101265823</v>
      </c>
      <c r="E40" s="50">
        <f t="shared" si="1"/>
        <v>-417721.77</v>
      </c>
    </row>
    <row r="41" spans="1:5" ht="16.5" customHeight="1">
      <c r="A41" s="16" t="s">
        <v>49</v>
      </c>
      <c r="B41" s="25">
        <v>757800</v>
      </c>
      <c r="C41" s="25">
        <v>348578.23</v>
      </c>
      <c r="D41" s="26">
        <f t="shared" si="0"/>
        <v>45.99871074162048</v>
      </c>
      <c r="E41" s="50">
        <f t="shared" si="1"/>
        <v>-409221.77</v>
      </c>
    </row>
    <row r="42" spans="1:5" ht="12.75">
      <c r="A42" s="119" t="s">
        <v>260</v>
      </c>
      <c r="B42" s="25">
        <v>476900</v>
      </c>
      <c r="C42" s="28">
        <v>192846.5</v>
      </c>
      <c r="D42" s="26">
        <f t="shared" si="0"/>
        <v>40.437513105472846</v>
      </c>
      <c r="E42" s="50">
        <f t="shared" si="1"/>
        <v>-284053.5</v>
      </c>
    </row>
    <row r="43" spans="1:5" ht="12.75">
      <c r="A43" s="16" t="s">
        <v>212</v>
      </c>
      <c r="B43" s="25">
        <v>100</v>
      </c>
      <c r="C43" s="28">
        <v>0</v>
      </c>
      <c r="D43" s="26">
        <f t="shared" si="0"/>
        <v>0</v>
      </c>
      <c r="E43" s="50">
        <f t="shared" si="1"/>
        <v>-100</v>
      </c>
    </row>
    <row r="44" spans="1:5" ht="12.75">
      <c r="A44" s="16" t="s">
        <v>173</v>
      </c>
      <c r="B44" s="25">
        <v>500</v>
      </c>
      <c r="C44" s="27">
        <v>0</v>
      </c>
      <c r="D44" s="26">
        <f t="shared" si="0"/>
        <v>0</v>
      </c>
      <c r="E44" s="50">
        <f t="shared" si="1"/>
        <v>-500</v>
      </c>
    </row>
    <row r="45" spans="1:5" ht="12.75">
      <c r="A45" s="16" t="s">
        <v>67</v>
      </c>
      <c r="B45" s="195">
        <f>SUM(B46)</f>
        <v>45900</v>
      </c>
      <c r="C45" s="195">
        <f>SUM(C46)</f>
        <v>19798.92</v>
      </c>
      <c r="D45" s="26">
        <f t="shared" si="0"/>
        <v>43.13490196078431</v>
      </c>
      <c r="E45" s="50">
        <f t="shared" si="1"/>
        <v>-26101.08</v>
      </c>
    </row>
    <row r="46" spans="1:5" ht="27.75" customHeight="1">
      <c r="A46" s="16" t="s">
        <v>207</v>
      </c>
      <c r="B46" s="25">
        <v>45900</v>
      </c>
      <c r="C46" s="27">
        <v>19798.92</v>
      </c>
      <c r="D46" s="26">
        <f t="shared" si="0"/>
        <v>43.13490196078431</v>
      </c>
      <c r="E46" s="50">
        <f t="shared" si="1"/>
        <v>-26101.08</v>
      </c>
    </row>
    <row r="47" spans="1:5" ht="18" customHeight="1">
      <c r="A47" s="16" t="s">
        <v>50</v>
      </c>
      <c r="B47" s="194">
        <f>SUM(B48)</f>
        <v>400</v>
      </c>
      <c r="C47" s="195">
        <f>SUM(C48)</f>
        <v>0</v>
      </c>
      <c r="D47" s="26">
        <f t="shared" si="0"/>
        <v>0</v>
      </c>
      <c r="E47" s="50">
        <f t="shared" si="1"/>
        <v>-400</v>
      </c>
    </row>
    <row r="48" spans="1:5" ht="25.5" customHeight="1">
      <c r="A48" s="48" t="s">
        <v>151</v>
      </c>
      <c r="B48" s="25">
        <v>400</v>
      </c>
      <c r="C48" s="27">
        <v>0</v>
      </c>
      <c r="D48" s="26">
        <f t="shared" si="0"/>
        <v>0</v>
      </c>
      <c r="E48" s="50">
        <f t="shared" si="1"/>
        <v>-400</v>
      </c>
    </row>
    <row r="49" spans="1:5" ht="12.75">
      <c r="A49" s="16" t="s">
        <v>51</v>
      </c>
      <c r="B49" s="194">
        <f>SUM(B50:B50)</f>
        <v>0</v>
      </c>
      <c r="C49" s="194">
        <f>SUM(C50:C50)</f>
        <v>0</v>
      </c>
      <c r="D49" s="26" t="str">
        <f t="shared" si="0"/>
        <v>   </v>
      </c>
      <c r="E49" s="50">
        <f t="shared" si="1"/>
        <v>0</v>
      </c>
    </row>
    <row r="50" spans="1:5" ht="17.25" customHeight="1">
      <c r="A50" s="16" t="s">
        <v>61</v>
      </c>
      <c r="B50" s="194">
        <f>SUM(B51)</f>
        <v>0</v>
      </c>
      <c r="C50" s="194">
        <f>SUM(C51)</f>
        <v>0</v>
      </c>
      <c r="D50" s="26" t="str">
        <f t="shared" si="0"/>
        <v>   </v>
      </c>
      <c r="E50" s="50">
        <f t="shared" si="1"/>
        <v>0</v>
      </c>
    </row>
    <row r="51" spans="1:5" ht="12.75">
      <c r="A51" s="16" t="s">
        <v>74</v>
      </c>
      <c r="B51" s="25">
        <v>0</v>
      </c>
      <c r="C51" s="25">
        <v>0</v>
      </c>
      <c r="D51" s="26" t="str">
        <f t="shared" si="0"/>
        <v>   </v>
      </c>
      <c r="E51" s="50">
        <f t="shared" si="1"/>
        <v>0</v>
      </c>
    </row>
    <row r="52" spans="1:5" ht="15.75" customHeight="1">
      <c r="A52" s="16" t="s">
        <v>16</v>
      </c>
      <c r="B52" s="194">
        <f>SUM(B53,)</f>
        <v>367000</v>
      </c>
      <c r="C52" s="194">
        <f>SUM(C53,)</f>
        <v>163804.75</v>
      </c>
      <c r="D52" s="26">
        <f t="shared" si="0"/>
        <v>44.633446866485016</v>
      </c>
      <c r="E52" s="50">
        <f t="shared" si="1"/>
        <v>-203195.25</v>
      </c>
    </row>
    <row r="53" spans="1:5" ht="12.75">
      <c r="A53" s="16" t="s">
        <v>84</v>
      </c>
      <c r="B53" s="25">
        <v>367000</v>
      </c>
      <c r="C53" s="25">
        <v>163804.75</v>
      </c>
      <c r="D53" s="26">
        <f t="shared" si="0"/>
        <v>44.633446866485016</v>
      </c>
      <c r="E53" s="50">
        <f t="shared" si="1"/>
        <v>-203195.25</v>
      </c>
    </row>
    <row r="54" spans="1:5" ht="12.75">
      <c r="A54" s="16" t="s">
        <v>86</v>
      </c>
      <c r="B54" s="25">
        <v>119900</v>
      </c>
      <c r="C54" s="27">
        <v>83804.75</v>
      </c>
      <c r="D54" s="26">
        <f t="shared" si="0"/>
        <v>69.89553794829024</v>
      </c>
      <c r="E54" s="50">
        <f t="shared" si="1"/>
        <v>-36095.25</v>
      </c>
    </row>
    <row r="55" spans="1:5" ht="12.75">
      <c r="A55" s="16" t="s">
        <v>132</v>
      </c>
      <c r="B55" s="25">
        <v>142100</v>
      </c>
      <c r="C55" s="27">
        <v>40000</v>
      </c>
      <c r="D55" s="26">
        <f t="shared" si="0"/>
        <v>28.149190710767062</v>
      </c>
      <c r="E55" s="50">
        <f t="shared" si="1"/>
        <v>-102100</v>
      </c>
    </row>
    <row r="56" spans="1:5" ht="12.75">
      <c r="A56" s="16" t="s">
        <v>138</v>
      </c>
      <c r="B56" s="25">
        <v>80000</v>
      </c>
      <c r="C56" s="27">
        <v>40000</v>
      </c>
      <c r="D56" s="26">
        <f t="shared" si="0"/>
        <v>50</v>
      </c>
      <c r="E56" s="50">
        <f t="shared" si="1"/>
        <v>-40000</v>
      </c>
    </row>
    <row r="57" spans="1:5" ht="12.75">
      <c r="A57" s="16" t="s">
        <v>85</v>
      </c>
      <c r="B57" s="25">
        <v>25000</v>
      </c>
      <c r="C57" s="27">
        <v>0</v>
      </c>
      <c r="D57" s="26">
        <f t="shared" si="0"/>
        <v>0</v>
      </c>
      <c r="E57" s="50">
        <f t="shared" si="1"/>
        <v>-25000</v>
      </c>
    </row>
    <row r="58" spans="1:5" ht="12.75">
      <c r="A58" s="48" t="s">
        <v>162</v>
      </c>
      <c r="B58" s="25">
        <v>0</v>
      </c>
      <c r="C58" s="27">
        <v>0</v>
      </c>
      <c r="D58" s="26" t="str">
        <f t="shared" si="0"/>
        <v>   </v>
      </c>
      <c r="E58" s="50">
        <f t="shared" si="1"/>
        <v>0</v>
      </c>
    </row>
    <row r="59" spans="1:5" ht="14.25" customHeight="1">
      <c r="A59" s="18" t="s">
        <v>24</v>
      </c>
      <c r="B59" s="31">
        <v>2000</v>
      </c>
      <c r="C59" s="31">
        <v>1230</v>
      </c>
      <c r="D59" s="26">
        <f t="shared" si="0"/>
        <v>61.5</v>
      </c>
      <c r="E59" s="50">
        <f t="shared" si="1"/>
        <v>-770</v>
      </c>
    </row>
    <row r="60" spans="1:5" ht="13.5" customHeight="1">
      <c r="A60" s="16" t="s">
        <v>54</v>
      </c>
      <c r="B60" s="192">
        <f>SUM(B61,)</f>
        <v>731000</v>
      </c>
      <c r="C60" s="192">
        <f>SUM(C61,)</f>
        <v>298743.73</v>
      </c>
      <c r="D60" s="26">
        <f t="shared" si="0"/>
        <v>40.86781532147742</v>
      </c>
      <c r="E60" s="50">
        <f t="shared" si="1"/>
        <v>-432256.27</v>
      </c>
    </row>
    <row r="61" spans="1:5" ht="12.75">
      <c r="A61" s="16" t="s">
        <v>55</v>
      </c>
      <c r="B61" s="25">
        <v>731000</v>
      </c>
      <c r="C61" s="27">
        <v>298743.73</v>
      </c>
      <c r="D61" s="26">
        <f t="shared" si="0"/>
        <v>40.86781532147742</v>
      </c>
      <c r="E61" s="50">
        <f t="shared" si="1"/>
        <v>-432256.27</v>
      </c>
    </row>
    <row r="62" spans="1:5" ht="12.75">
      <c r="A62" s="119" t="s">
        <v>260</v>
      </c>
      <c r="B62" s="25">
        <v>380900</v>
      </c>
      <c r="C62" s="27">
        <v>157024.33</v>
      </c>
      <c r="D62" s="26">
        <f t="shared" si="0"/>
        <v>41.22455500131268</v>
      </c>
      <c r="E62" s="50">
        <f t="shared" si="1"/>
        <v>-223875.67</v>
      </c>
    </row>
    <row r="63" spans="1:5" ht="12.75" customHeight="1">
      <c r="A63" s="16" t="s">
        <v>208</v>
      </c>
      <c r="B63" s="25">
        <v>7500</v>
      </c>
      <c r="C63" s="27">
        <v>0</v>
      </c>
      <c r="D63" s="26">
        <f t="shared" si="0"/>
        <v>0</v>
      </c>
      <c r="E63" s="50">
        <f t="shared" si="1"/>
        <v>-7500</v>
      </c>
    </row>
    <row r="64" spans="1:5" ht="12.75" customHeight="1">
      <c r="A64" s="16" t="s">
        <v>235</v>
      </c>
      <c r="B64" s="25">
        <v>0</v>
      </c>
      <c r="C64" s="27">
        <v>0</v>
      </c>
      <c r="D64" s="26" t="str">
        <f t="shared" si="0"/>
        <v>   </v>
      </c>
      <c r="E64" s="50">
        <f t="shared" si="1"/>
        <v>0</v>
      </c>
    </row>
    <row r="65" spans="1:5" ht="12.75">
      <c r="A65" s="201" t="s">
        <v>266</v>
      </c>
      <c r="B65" s="227">
        <f>SUM(B66,)</f>
        <v>20000</v>
      </c>
      <c r="C65" s="227">
        <f>SUM(C66,)</f>
        <v>20000</v>
      </c>
      <c r="D65" s="203">
        <f t="shared" si="0"/>
        <v>100</v>
      </c>
      <c r="E65" s="204">
        <f t="shared" si="1"/>
        <v>0</v>
      </c>
    </row>
    <row r="66" spans="1:5" ht="12.75">
      <c r="A66" s="201" t="s">
        <v>56</v>
      </c>
      <c r="B66" s="202">
        <v>20000</v>
      </c>
      <c r="C66" s="232">
        <v>20000</v>
      </c>
      <c r="D66" s="203">
        <f t="shared" si="0"/>
        <v>100</v>
      </c>
      <c r="E66" s="204">
        <f t="shared" si="1"/>
        <v>0</v>
      </c>
    </row>
    <row r="67" spans="1:5" ht="12.75">
      <c r="A67" s="119" t="s">
        <v>18</v>
      </c>
      <c r="B67" s="212">
        <f>B68</f>
        <v>80000</v>
      </c>
      <c r="C67" s="212">
        <f>C68</f>
        <v>0</v>
      </c>
      <c r="D67" s="233">
        <f t="shared" si="0"/>
        <v>0</v>
      </c>
      <c r="E67" s="234">
        <f t="shared" si="1"/>
        <v>-80000</v>
      </c>
    </row>
    <row r="68" spans="1:5" ht="12.75">
      <c r="A68" s="16" t="s">
        <v>276</v>
      </c>
      <c r="B68" s="194">
        <f>SUM(B69,B78,B85)</f>
        <v>80000</v>
      </c>
      <c r="C68" s="194">
        <f>SUM(C69,C78,C85)</f>
        <v>0</v>
      </c>
      <c r="D68" s="26">
        <f t="shared" si="0"/>
        <v>0</v>
      </c>
      <c r="E68" s="50">
        <f t="shared" si="1"/>
        <v>-80000</v>
      </c>
    </row>
    <row r="69" spans="1:5" ht="12.75">
      <c r="A69" s="120" t="s">
        <v>274</v>
      </c>
      <c r="B69" s="199">
        <f>SUM(B70,B74)</f>
        <v>80000</v>
      </c>
      <c r="C69" s="199">
        <f>SUM(C70,C74)</f>
        <v>0</v>
      </c>
      <c r="D69" s="26">
        <f t="shared" si="0"/>
        <v>0</v>
      </c>
      <c r="E69" s="50">
        <f t="shared" si="1"/>
        <v>-80000</v>
      </c>
    </row>
    <row r="70" spans="1:5" ht="12.75">
      <c r="A70" s="16" t="s">
        <v>279</v>
      </c>
      <c r="B70" s="194">
        <f>SUM(B71:B73)</f>
        <v>80000</v>
      </c>
      <c r="C70" s="194">
        <f>SUM(C71:C73)</f>
        <v>0</v>
      </c>
      <c r="D70" s="26">
        <f t="shared" si="0"/>
        <v>0</v>
      </c>
      <c r="E70" s="50">
        <f t="shared" si="1"/>
        <v>-80000</v>
      </c>
    </row>
    <row r="71" spans="1:5" ht="12.75">
      <c r="A71" s="48" t="s">
        <v>287</v>
      </c>
      <c r="B71" s="25">
        <v>0</v>
      </c>
      <c r="C71" s="25"/>
      <c r="D71" s="26" t="str">
        <f aca="true" t="shared" si="2" ref="D71:D89">IF(B71=0,"   ",C71/B71*100)</f>
        <v>   </v>
      </c>
      <c r="E71" s="50">
        <f t="shared" si="1"/>
        <v>0</v>
      </c>
    </row>
    <row r="72" spans="1:5" ht="12.75">
      <c r="A72" s="48" t="s">
        <v>288</v>
      </c>
      <c r="B72" s="25">
        <v>0</v>
      </c>
      <c r="C72" s="25"/>
      <c r="D72" s="26" t="str">
        <f t="shared" si="2"/>
        <v>   </v>
      </c>
      <c r="E72" s="50">
        <f t="shared" si="1"/>
        <v>0</v>
      </c>
    </row>
    <row r="73" spans="1:5" ht="12.75">
      <c r="A73" s="48" t="s">
        <v>289</v>
      </c>
      <c r="B73" s="25">
        <v>80000</v>
      </c>
      <c r="C73" s="25"/>
      <c r="D73" s="26">
        <f t="shared" si="2"/>
        <v>0</v>
      </c>
      <c r="E73" s="50">
        <f t="shared" si="1"/>
        <v>-80000</v>
      </c>
    </row>
    <row r="74" spans="1:5" ht="25.5">
      <c r="A74" s="16" t="s">
        <v>278</v>
      </c>
      <c r="B74" s="194">
        <f>SUM(B75:B77)</f>
        <v>0</v>
      </c>
      <c r="C74" s="194">
        <f>SUM(C75:C77)</f>
        <v>0</v>
      </c>
      <c r="D74" s="26" t="str">
        <f t="shared" si="2"/>
        <v>   </v>
      </c>
      <c r="E74" s="50">
        <f t="shared" si="1"/>
        <v>0</v>
      </c>
    </row>
    <row r="75" spans="1:5" ht="12.75">
      <c r="A75" s="48" t="s">
        <v>287</v>
      </c>
      <c r="B75" s="25">
        <v>0</v>
      </c>
      <c r="C75" s="25"/>
      <c r="D75" s="26" t="str">
        <f t="shared" si="2"/>
        <v>   </v>
      </c>
      <c r="E75" s="50">
        <f t="shared" si="1"/>
        <v>0</v>
      </c>
    </row>
    <row r="76" spans="1:5" ht="12.75">
      <c r="A76" s="48" t="s">
        <v>288</v>
      </c>
      <c r="B76" s="25">
        <v>0</v>
      </c>
      <c r="C76" s="25"/>
      <c r="D76" s="26" t="str">
        <f t="shared" si="2"/>
        <v>   </v>
      </c>
      <c r="E76" s="50">
        <f t="shared" si="1"/>
        <v>0</v>
      </c>
    </row>
    <row r="77" spans="1:5" ht="12.75">
      <c r="A77" s="48" t="s">
        <v>289</v>
      </c>
      <c r="B77" s="25">
        <v>0</v>
      </c>
      <c r="C77" s="25"/>
      <c r="D77" s="26" t="str">
        <f t="shared" si="2"/>
        <v>   </v>
      </c>
      <c r="E77" s="50">
        <f t="shared" si="1"/>
        <v>0</v>
      </c>
    </row>
    <row r="78" spans="1:5" ht="12.75">
      <c r="A78" s="120" t="s">
        <v>275</v>
      </c>
      <c r="B78" s="199">
        <f>SUM(B79,B82)</f>
        <v>0</v>
      </c>
      <c r="C78" s="199">
        <f>SUM(C79,C82)</f>
        <v>0</v>
      </c>
      <c r="D78" s="26" t="str">
        <f t="shared" si="2"/>
        <v>   </v>
      </c>
      <c r="E78" s="50">
        <f t="shared" si="1"/>
        <v>0</v>
      </c>
    </row>
    <row r="79" spans="1:5" ht="12.75">
      <c r="A79" s="16" t="s">
        <v>279</v>
      </c>
      <c r="B79" s="194">
        <f>SUM(B80:B81)</f>
        <v>0</v>
      </c>
      <c r="C79" s="194">
        <f>SUM(C80:C81)</f>
        <v>0</v>
      </c>
      <c r="D79" s="26" t="str">
        <f t="shared" si="2"/>
        <v>   </v>
      </c>
      <c r="E79" s="50">
        <f t="shared" si="1"/>
        <v>0</v>
      </c>
    </row>
    <row r="80" spans="1:5" ht="12.75">
      <c r="A80" s="48" t="s">
        <v>288</v>
      </c>
      <c r="B80" s="25">
        <v>0</v>
      </c>
      <c r="C80" s="25"/>
      <c r="D80" s="26" t="str">
        <f t="shared" si="2"/>
        <v>   </v>
      </c>
      <c r="E80" s="50">
        <f t="shared" si="1"/>
        <v>0</v>
      </c>
    </row>
    <row r="81" spans="1:5" ht="12.75">
      <c r="A81" s="48" t="s">
        <v>289</v>
      </c>
      <c r="B81" s="25">
        <v>0</v>
      </c>
      <c r="C81" s="25"/>
      <c r="D81" s="26" t="str">
        <f t="shared" si="2"/>
        <v>   </v>
      </c>
      <c r="E81" s="50">
        <f t="shared" si="1"/>
        <v>0</v>
      </c>
    </row>
    <row r="82" spans="1:5" ht="25.5">
      <c r="A82" s="16" t="s">
        <v>278</v>
      </c>
      <c r="B82" s="194">
        <f>SUM(B83:B84)</f>
        <v>0</v>
      </c>
      <c r="C82" s="194">
        <f>SUM(C83:C84)</f>
        <v>0</v>
      </c>
      <c r="D82" s="26" t="str">
        <f t="shared" si="2"/>
        <v>   </v>
      </c>
      <c r="E82" s="50">
        <f t="shared" si="1"/>
        <v>0</v>
      </c>
    </row>
    <row r="83" spans="1:5" ht="12.75">
      <c r="A83" s="48" t="s">
        <v>288</v>
      </c>
      <c r="B83" s="25">
        <v>0</v>
      </c>
      <c r="C83" s="25"/>
      <c r="D83" s="26" t="str">
        <f t="shared" si="2"/>
        <v>   </v>
      </c>
      <c r="E83" s="50">
        <f t="shared" si="1"/>
        <v>0</v>
      </c>
    </row>
    <row r="84" spans="1:5" ht="12.75">
      <c r="A84" s="48" t="s">
        <v>289</v>
      </c>
      <c r="B84" s="25">
        <v>0</v>
      </c>
      <c r="C84" s="25"/>
      <c r="D84" s="26" t="str">
        <f t="shared" si="2"/>
        <v>   </v>
      </c>
      <c r="E84" s="50">
        <f t="shared" si="1"/>
        <v>0</v>
      </c>
    </row>
    <row r="85" spans="1:5" ht="12.75">
      <c r="A85" s="120" t="s">
        <v>286</v>
      </c>
      <c r="B85" s="199">
        <f>SUM(B86:B88)</f>
        <v>0</v>
      </c>
      <c r="C85" s="199">
        <f>SUM(C86:C88)</f>
        <v>0</v>
      </c>
      <c r="D85" s="26" t="str">
        <f t="shared" si="2"/>
        <v>   </v>
      </c>
      <c r="E85" s="50">
        <f t="shared" si="1"/>
        <v>0</v>
      </c>
    </row>
    <row r="86" spans="1:5" ht="12.75">
      <c r="A86" s="48" t="s">
        <v>287</v>
      </c>
      <c r="B86" s="121">
        <v>0</v>
      </c>
      <c r="C86" s="121"/>
      <c r="D86" s="26" t="str">
        <f t="shared" si="2"/>
        <v>   </v>
      </c>
      <c r="E86" s="50">
        <f t="shared" si="1"/>
        <v>0</v>
      </c>
    </row>
    <row r="87" spans="1:5" ht="12.75">
      <c r="A87" s="48" t="s">
        <v>288</v>
      </c>
      <c r="B87" s="121">
        <v>0</v>
      </c>
      <c r="C87" s="121"/>
      <c r="D87" s="26" t="str">
        <f t="shared" si="2"/>
        <v>   </v>
      </c>
      <c r="E87" s="50">
        <f t="shared" si="1"/>
        <v>0</v>
      </c>
    </row>
    <row r="88" spans="1:5" ht="12.75">
      <c r="A88" s="48" t="s">
        <v>289</v>
      </c>
      <c r="B88" s="121">
        <v>0</v>
      </c>
      <c r="C88" s="121"/>
      <c r="D88" s="26" t="str">
        <f t="shared" si="2"/>
        <v>   </v>
      </c>
      <c r="E88" s="50">
        <f t="shared" si="1"/>
        <v>0</v>
      </c>
    </row>
    <row r="89" spans="1:5" ht="21.75" customHeight="1">
      <c r="A89" s="165" t="s">
        <v>19</v>
      </c>
      <c r="B89" s="169">
        <f>SUM(B40,B45,B47,B49,B52,B59,B60,B65,B67,)</f>
        <v>2012600</v>
      </c>
      <c r="C89" s="169">
        <f>SUM(C40,C45,C47,C49,C52,C59,C60,C65,C67,)</f>
        <v>852155.6299999999</v>
      </c>
      <c r="D89" s="167">
        <f t="shared" si="2"/>
        <v>42.34103299214945</v>
      </c>
      <c r="E89" s="168">
        <f t="shared" si="1"/>
        <v>-1160444.37</v>
      </c>
    </row>
    <row r="90" spans="1:5" ht="15.75" customHeight="1" thickBot="1">
      <c r="A90" s="99" t="s">
        <v>262</v>
      </c>
      <c r="B90" s="213">
        <f>B42+B62</f>
        <v>857800</v>
      </c>
      <c r="C90" s="213">
        <f>C42+C62</f>
        <v>349870.82999999996</v>
      </c>
      <c r="D90" s="100">
        <f>IF(B90=0,"   ",C90/B90*100)</f>
        <v>40.786993471671714</v>
      </c>
      <c r="E90" s="101">
        <f t="shared" si="1"/>
        <v>-507929.17000000004</v>
      </c>
    </row>
    <row r="91" spans="1:5" ht="36" customHeight="1">
      <c r="A91" s="111" t="s">
        <v>317</v>
      </c>
      <c r="B91" s="111"/>
      <c r="C91" s="235"/>
      <c r="D91" s="235"/>
      <c r="E91" s="235"/>
    </row>
    <row r="92" spans="1:5" ht="14.25">
      <c r="A92" s="111" t="s">
        <v>318</v>
      </c>
      <c r="B92" s="111"/>
      <c r="C92" s="112" t="s">
        <v>319</v>
      </c>
      <c r="D92" s="113"/>
      <c r="E92" s="114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="70" zoomScaleNormal="70" workbookViewId="0" topLeftCell="A124">
      <selection activeCell="C140" sqref="C140:E140"/>
    </sheetView>
  </sheetViews>
  <sheetFormatPr defaultColWidth="9.00390625" defaultRowHeight="12.75"/>
  <cols>
    <col min="1" max="1" width="55.375" style="0" customWidth="1"/>
    <col min="2" max="2" width="14.75390625" style="0" customWidth="1"/>
    <col min="3" max="3" width="15.875" style="0" customWidth="1"/>
    <col min="4" max="4" width="14.25390625" style="0" customWidth="1"/>
    <col min="5" max="5" width="15.125" style="0" customWidth="1"/>
  </cols>
  <sheetData>
    <row r="1" spans="1:5" ht="18">
      <c r="A1" s="237" t="s">
        <v>302</v>
      </c>
      <c r="B1" s="237"/>
      <c r="C1" s="237"/>
      <c r="D1" s="237"/>
      <c r="E1" s="237"/>
    </row>
    <row r="2" spans="1:5" ht="13.5" thickBot="1">
      <c r="A2" s="4"/>
      <c r="B2" s="4"/>
      <c r="C2" s="54"/>
      <c r="D2" s="4"/>
      <c r="E2" s="4" t="s">
        <v>0</v>
      </c>
    </row>
    <row r="3" spans="1:5" ht="83.25" customHeight="1">
      <c r="A3" s="35" t="s">
        <v>1</v>
      </c>
      <c r="B3" s="19" t="s">
        <v>240</v>
      </c>
      <c r="C3" s="32" t="s">
        <v>303</v>
      </c>
      <c r="D3" s="19" t="s">
        <v>250</v>
      </c>
      <c r="E3" s="102" t="s">
        <v>315</v>
      </c>
    </row>
    <row r="4" spans="1:5" ht="12.75">
      <c r="A4" s="13">
        <v>1</v>
      </c>
      <c r="B4" s="98">
        <v>2</v>
      </c>
      <c r="C4" s="55">
        <v>3</v>
      </c>
      <c r="D4" s="29">
        <v>4</v>
      </c>
      <c r="E4" s="56">
        <v>5</v>
      </c>
    </row>
    <row r="5" spans="1:5" ht="15.75" customHeight="1">
      <c r="A5" s="22" t="s">
        <v>2</v>
      </c>
      <c r="B5" s="11"/>
      <c r="C5" s="57"/>
      <c r="D5" s="25"/>
      <c r="E5" s="58"/>
    </row>
    <row r="6" spans="1:5" ht="12.75">
      <c r="A6" s="17" t="s">
        <v>58</v>
      </c>
      <c r="B6" s="192">
        <f>SUM(B7)</f>
        <v>6810400</v>
      </c>
      <c r="C6" s="192">
        <f>SUM(C7)</f>
        <v>3163636.68</v>
      </c>
      <c r="D6" s="59">
        <f aca="true" t="shared" si="0" ref="D6:D22">IF(B6=0,"   ",C6/B6*100)</f>
        <v>46.45302302361095</v>
      </c>
      <c r="E6" s="60">
        <f aca="true" t="shared" si="1" ref="E6:E45">C6-B6</f>
        <v>-3646763.32</v>
      </c>
    </row>
    <row r="7" spans="1:5" ht="12.75">
      <c r="A7" s="16" t="s">
        <v>57</v>
      </c>
      <c r="B7" s="194">
        <f>Лист1!B9+Лист2!B7+Лист3!B7+Лист4!B8+Лист5!B8+Лист6!B8+Лист7!B8+Лист8!B8+Лист9!B8+Лист10!B8</f>
        <v>6810400</v>
      </c>
      <c r="C7" s="194">
        <f>Лист1!C9+Лист2!C7+Лист3!C7+Лист4!C8+Лист5!C8+Лист6!C8+Лист7!C8+Лист8!C8+Лист9!C8+Лист10!C8</f>
        <v>3163636.68</v>
      </c>
      <c r="D7" s="59">
        <f t="shared" si="0"/>
        <v>46.45302302361095</v>
      </c>
      <c r="E7" s="60">
        <f t="shared" si="1"/>
        <v>-3646763.32</v>
      </c>
    </row>
    <row r="8" spans="1:5" ht="12.75">
      <c r="A8" s="16" t="s">
        <v>7</v>
      </c>
      <c r="B8" s="194">
        <f>B9</f>
        <v>250400</v>
      </c>
      <c r="C8" s="194">
        <f>SUM(C9:C9)</f>
        <v>83384.89</v>
      </c>
      <c r="D8" s="59">
        <f t="shared" si="0"/>
        <v>33.30067492012779</v>
      </c>
      <c r="E8" s="60">
        <f t="shared" si="1"/>
        <v>-167015.11</v>
      </c>
    </row>
    <row r="9" spans="1:5" ht="12.75">
      <c r="A9" s="16" t="s">
        <v>38</v>
      </c>
      <c r="B9" s="194">
        <f>Лист1!B16+Лист2!B9+Лист3!B9+Лист4!B10+Лист5!B10+Лист6!B10+Лист7!B10+Лист8!B10+Лист9!B10+Лист10!B10</f>
        <v>250400</v>
      </c>
      <c r="C9" s="194">
        <f>Лист1!C16+Лист2!C9+Лист3!C9+Лист4!C10+Лист5!C10+Лист6!C10+Лист7!C10+Лист8!C10+Лист9!C10+Лист10!C10</f>
        <v>83384.89</v>
      </c>
      <c r="D9" s="59">
        <f t="shared" si="0"/>
        <v>33.30067492012779</v>
      </c>
      <c r="E9" s="60">
        <f t="shared" si="1"/>
        <v>-167015.11</v>
      </c>
    </row>
    <row r="10" spans="1:5" ht="12.75">
      <c r="A10" s="16" t="s">
        <v>9</v>
      </c>
      <c r="B10" s="194">
        <f>SUM(B11:B12)</f>
        <v>5154400</v>
      </c>
      <c r="C10" s="194">
        <f>SUM(C11:C12)</f>
        <v>1177902.69</v>
      </c>
      <c r="D10" s="59">
        <f t="shared" si="0"/>
        <v>22.852372536085674</v>
      </c>
      <c r="E10" s="60">
        <f t="shared" si="1"/>
        <v>-3976497.31</v>
      </c>
    </row>
    <row r="11" spans="1:5" ht="12.75">
      <c r="A11" s="16" t="s">
        <v>39</v>
      </c>
      <c r="B11" s="194">
        <f>Лист1!B18+Лист2!B11+Лист3!B11+Лист4!B12+Лист5!B12+Лист6!B12+Лист7!B12+Лист8!B12+Лист9!B12+Лист10!B12</f>
        <v>1308200</v>
      </c>
      <c r="C11" s="194">
        <f>Лист1!C18+Лист2!C11+Лист3!C11+Лист4!C12+Лист5!C12+Лист6!C12+Лист7!C12+Лист8!C12+Лист9!C12+Лист10!C12</f>
        <v>189219.28999999998</v>
      </c>
      <c r="D11" s="59">
        <f t="shared" si="0"/>
        <v>14.46409493961168</v>
      </c>
      <c r="E11" s="60">
        <f t="shared" si="1"/>
        <v>-1118980.71</v>
      </c>
    </row>
    <row r="12" spans="1:5" ht="12.75">
      <c r="A12" s="16" t="s">
        <v>10</v>
      </c>
      <c r="B12" s="194">
        <f>Лист1!B19+Лист2!B12+Лист3!B12+Лист4!B13+Лист5!B13+Лист6!B13+Лист7!B13+Лист8!B13+Лист9!B13+Лист10!B13</f>
        <v>3846200</v>
      </c>
      <c r="C12" s="194">
        <f>Лист1!C19+Лист2!C12+Лист3!C12+Лист4!C13+Лист5!C13+Лист6!C13+Лист7!C13+Лист8!C13+Лист9!C13+Лист10!C13</f>
        <v>988683.3999999999</v>
      </c>
      <c r="D12" s="59">
        <f t="shared" si="0"/>
        <v>25.705459934480785</v>
      </c>
      <c r="E12" s="60">
        <f t="shared" si="1"/>
        <v>-2857516.6</v>
      </c>
    </row>
    <row r="13" spans="1:5" ht="38.25">
      <c r="A13" s="16" t="s">
        <v>160</v>
      </c>
      <c r="B13" s="194">
        <v>0</v>
      </c>
      <c r="C13" s="220">
        <f>Лист1!C20+Лист2!C13+Лист3!C13+Лист4!C14+Лист5!C14+Лист6!C14+Лист7!C14+Лист8!C14+Лист9!C14+Лист10!C14</f>
        <v>1909.42</v>
      </c>
      <c r="D13" s="59" t="str">
        <f t="shared" si="0"/>
        <v>   </v>
      </c>
      <c r="E13" s="60">
        <f t="shared" si="1"/>
        <v>1909.42</v>
      </c>
    </row>
    <row r="14" spans="1:5" ht="38.25">
      <c r="A14" s="16" t="s">
        <v>40</v>
      </c>
      <c r="B14" s="194">
        <f>SUM(B15:B16)</f>
        <v>3134900</v>
      </c>
      <c r="C14" s="192">
        <f>SUM(C15:C16)</f>
        <v>778010.97</v>
      </c>
      <c r="D14" s="59">
        <f t="shared" si="0"/>
        <v>24.817728476187437</v>
      </c>
      <c r="E14" s="60">
        <f t="shared" si="1"/>
        <v>-2356889.0300000003</v>
      </c>
    </row>
    <row r="15" spans="1:5" ht="12.75">
      <c r="A15" s="16" t="s">
        <v>41</v>
      </c>
      <c r="B15" s="194">
        <f>Лист1!B22+Лист2!B17+Лист3!B15+Лист4!B16+Лист5!B16+Лист6!B16+Лист7!B16+Лист8!B16+Лист9!B16+Лист10!B16</f>
        <v>2632900</v>
      </c>
      <c r="C15" s="194">
        <f>Лист1!C22+Лист2!C17+Лист3!C15+Лист4!C16+Лист5!C16+Лист6!C16+Лист7!C16+Лист8!C16+Лист9!C16+Лист10!C16</f>
        <v>595835.4299999999</v>
      </c>
      <c r="D15" s="59">
        <f t="shared" si="0"/>
        <v>22.630385886285083</v>
      </c>
      <c r="E15" s="60">
        <f t="shared" si="1"/>
        <v>-2037064.57</v>
      </c>
    </row>
    <row r="16" spans="1:5" ht="25.5">
      <c r="A16" s="16" t="s">
        <v>42</v>
      </c>
      <c r="B16" s="194">
        <f>Лист1!B23+Лист2!B18+Лист3!B16+Лист4!B17+Лист5!B17+Лист6!B17+Лист7!B17+Лист8!B17+Лист9!B17+Лист10!B17</f>
        <v>502000</v>
      </c>
      <c r="C16" s="194">
        <f>Лист1!C23+Лист2!C18+Лист3!C16+Лист4!C17+Лист5!C17+Лист6!C17+Лист7!C17+Лист8!C17+Лист9!C17+Лист10!C17</f>
        <v>182175.53999999998</v>
      </c>
      <c r="D16" s="59">
        <f t="shared" si="0"/>
        <v>36.289948207171314</v>
      </c>
      <c r="E16" s="60">
        <f t="shared" si="1"/>
        <v>-319824.46</v>
      </c>
    </row>
    <row r="17" spans="1:5" ht="25.5">
      <c r="A17" s="16" t="s">
        <v>118</v>
      </c>
      <c r="B17" s="194">
        <f>SUM(B18)</f>
        <v>0</v>
      </c>
      <c r="C17" s="194">
        <f>SUM(C18)</f>
        <v>12684.96</v>
      </c>
      <c r="D17" s="59" t="str">
        <f t="shared" si="0"/>
        <v>   </v>
      </c>
      <c r="E17" s="60">
        <f t="shared" si="1"/>
        <v>12684.96</v>
      </c>
    </row>
    <row r="18" spans="1:5" ht="38.25">
      <c r="A18" s="16" t="s">
        <v>121</v>
      </c>
      <c r="B18" s="194">
        <f>Лист1!B24+Лист2!B19+Лист3!B17+Лист4!B18+Лист5!B18+Лист6!B18+Лист7!B21+Лист8!B18+Лист9!B18+Лист10!B18</f>
        <v>0</v>
      </c>
      <c r="C18" s="212">
        <f>Лист1!C24+Лист2!C19+Лист3!C17+Лист4!C18+Лист5!C18+Лист6!C18+Лист7!C21+Лист8!C18+Лист9!C18+Лист10!C18</f>
        <v>12684.96</v>
      </c>
      <c r="D18" s="59" t="str">
        <f t="shared" si="0"/>
        <v>   </v>
      </c>
      <c r="E18" s="60">
        <f t="shared" si="1"/>
        <v>12684.96</v>
      </c>
    </row>
    <row r="19" spans="1:5" ht="25.5">
      <c r="A19" s="16" t="s">
        <v>106</v>
      </c>
      <c r="B19" s="194">
        <f>SUM(B20)</f>
        <v>14000</v>
      </c>
      <c r="C19" s="194">
        <f>SUM(C20)</f>
        <v>40811.67</v>
      </c>
      <c r="D19" s="59">
        <f t="shared" si="0"/>
        <v>291.5119285714286</v>
      </c>
      <c r="E19" s="60">
        <f t="shared" si="1"/>
        <v>26811.67</v>
      </c>
    </row>
    <row r="20" spans="1:5" ht="38.25">
      <c r="A20" s="16" t="s">
        <v>107</v>
      </c>
      <c r="B20" s="194">
        <f>Лист1!B26+Лист2!B15+Лист3!B19+Лист4!B20+Лист5!B19+Лист6!B20+Лист7!B19+Лист8!B20+Лист9!B20+Лист10!B20</f>
        <v>14000</v>
      </c>
      <c r="C20" s="194">
        <f>Лист1!C26+Лист2!C15+Лист3!C19+Лист4!C20+Лист5!C19+Лист6!C20+Лист7!C19+Лист8!C20+Лист9!C20+Лист10!C20</f>
        <v>40811.67</v>
      </c>
      <c r="D20" s="59">
        <f t="shared" si="0"/>
        <v>291.5119285714286</v>
      </c>
      <c r="E20" s="60">
        <f t="shared" si="1"/>
        <v>26811.67</v>
      </c>
    </row>
    <row r="21" spans="1:5" ht="12.75">
      <c r="A21" s="16" t="s">
        <v>43</v>
      </c>
      <c r="B21" s="194">
        <v>0</v>
      </c>
      <c r="C21" s="194">
        <f>Лист2!C23+Лист3!C23+Лист4!C23+Лист5!C24+Лист6!C23+Лист7!C25+Лист8!C24+Лист9!C21+Лист10!C23</f>
        <v>5957</v>
      </c>
      <c r="D21" s="59" t="str">
        <f t="shared" si="0"/>
        <v>   </v>
      </c>
      <c r="E21" s="60">
        <f t="shared" si="1"/>
        <v>5957</v>
      </c>
    </row>
    <row r="22" spans="1:5" ht="12.75">
      <c r="A22" s="16" t="s">
        <v>44</v>
      </c>
      <c r="B22" s="194">
        <f>SUM(B25:B25)</f>
        <v>0</v>
      </c>
      <c r="C22" s="194">
        <f>SUM(C23:C25)</f>
        <v>22235.100000000002</v>
      </c>
      <c r="D22" s="59" t="str">
        <f t="shared" si="0"/>
        <v>   </v>
      </c>
      <c r="E22" s="60">
        <f t="shared" si="1"/>
        <v>22235.100000000002</v>
      </c>
    </row>
    <row r="23" spans="1:5" ht="12.75">
      <c r="A23" s="16" t="s">
        <v>59</v>
      </c>
      <c r="B23" s="194">
        <v>0</v>
      </c>
      <c r="C23" s="194">
        <f>Лист3!C21+Лист7!C23+Лист8!C22</f>
        <v>-6781.41</v>
      </c>
      <c r="D23" s="59"/>
      <c r="E23" s="60">
        <f t="shared" si="1"/>
        <v>-6781.41</v>
      </c>
    </row>
    <row r="24" spans="1:5" ht="25.5">
      <c r="A24" s="16" t="s">
        <v>196</v>
      </c>
      <c r="B24" s="194">
        <v>0</v>
      </c>
      <c r="C24" s="194">
        <f>Лист1!C30+Лист2!C21</f>
        <v>0</v>
      </c>
      <c r="D24" s="59"/>
      <c r="E24" s="60">
        <f t="shared" si="1"/>
        <v>0</v>
      </c>
    </row>
    <row r="25" spans="1:5" ht="12.75">
      <c r="A25" s="16" t="s">
        <v>68</v>
      </c>
      <c r="B25" s="194">
        <v>0</v>
      </c>
      <c r="C25" s="220">
        <f>Лист1!C31+Лист2!C22+Лист3!C22+Лист4!C22+Лист5!C23+Лист6!C22+Лист7!C24+Лист8!C23+Лист9!C23+Лист10!C22</f>
        <v>29016.510000000002</v>
      </c>
      <c r="D25" s="59" t="str">
        <f aca="true" t="shared" si="2" ref="D25:D82">IF(B25=0,"   ",C25/B25*100)</f>
        <v>   </v>
      </c>
      <c r="E25" s="60">
        <f t="shared" si="1"/>
        <v>29016.510000000002</v>
      </c>
    </row>
    <row r="26" spans="1:5" ht="15.75">
      <c r="A26" s="165" t="s">
        <v>11</v>
      </c>
      <c r="B26" s="166">
        <f>SUM(B6,B8,B10,B13,B14,B17,B19,B22,)</f>
        <v>15364100</v>
      </c>
      <c r="C26" s="166">
        <f>SUM(C6,C8,C10,C13,C14,C17,C19,C21,C22,)</f>
        <v>5286533.379999999</v>
      </c>
      <c r="D26" s="140">
        <f t="shared" si="2"/>
        <v>34.40835050539894</v>
      </c>
      <c r="E26" s="141">
        <f t="shared" si="1"/>
        <v>-10077566.620000001</v>
      </c>
    </row>
    <row r="27" spans="1:5" ht="25.5">
      <c r="A27" s="17" t="s">
        <v>46</v>
      </c>
      <c r="B27" s="192">
        <f>Лист1!B35+Лист2!B25+Лист3!B25+Лист4!B25+Лист5!B26+Лист6!B25+Лист7!B27+Лист8!B27+Лист9!B26+Лист10!B25</f>
        <v>18529400</v>
      </c>
      <c r="C27" s="192">
        <f>Лист1!C35+Лист2!C25+Лист3!C25+Лист4!C25+Лист5!C26+Лист6!C25+Лист7!C27+Лист8!C27+Лист9!C26+Лист10!C25</f>
        <v>8934750</v>
      </c>
      <c r="D27" s="59">
        <f>IF(B27=0,"   ",C27/B27*100)</f>
        <v>48.219316329724656</v>
      </c>
      <c r="E27" s="60">
        <f t="shared" si="1"/>
        <v>-9594650</v>
      </c>
    </row>
    <row r="28" spans="1:5" ht="38.25">
      <c r="A28" s="17" t="s">
        <v>257</v>
      </c>
      <c r="B28" s="192">
        <f>Лист1!B36+Лист2!B26+Лист3!B26+Лист4!B26+Лист5!B27+Лист6!B26+Лист7!B28+Лист8!B28+Лист9!B27+Лист10!B26</f>
        <v>1550000</v>
      </c>
      <c r="C28" s="192">
        <f>Лист1!C36+Лист2!C26+Лист3!C26+Лист4!C26+Лист5!C27+Лист6!C26+Лист7!C28+Лист8!C28+Лист9!C27+Лист10!C26</f>
        <v>47000</v>
      </c>
      <c r="D28" s="59">
        <f>IF(B28=0,"   ",C28/B28*100)</f>
        <v>3.032258064516129</v>
      </c>
      <c r="E28" s="60">
        <f>C28-B28</f>
        <v>-1503000</v>
      </c>
    </row>
    <row r="29" spans="1:5" ht="12.75">
      <c r="A29" s="230" t="s">
        <v>221</v>
      </c>
      <c r="B29" s="216">
        <f>B31+B32+B33+B34</f>
        <v>8477301</v>
      </c>
      <c r="C29" s="216">
        <f>C31+C32+C33+C34</f>
        <v>430773</v>
      </c>
      <c r="D29" s="59">
        <f>IF(B29=0,"   ",C29/B29*100)</f>
        <v>5.081487610266523</v>
      </c>
      <c r="E29" s="60">
        <f t="shared" si="1"/>
        <v>-8046528</v>
      </c>
    </row>
    <row r="30" spans="1:5" ht="12.75">
      <c r="A30" s="17" t="s">
        <v>222</v>
      </c>
      <c r="B30" s="192"/>
      <c r="C30" s="192"/>
      <c r="D30" s="59"/>
      <c r="E30" s="60"/>
    </row>
    <row r="31" spans="1:5" ht="25.5">
      <c r="A31" s="16" t="s">
        <v>108</v>
      </c>
      <c r="B31" s="212">
        <f>SUM(Лист1!B39+Лист2!B29+Лист3!B29+Лист4!B30+Лист5!B30+Лист7!B34+Лист8!B32+Лист9!B31+Лист10!B31)</f>
        <v>3766201</v>
      </c>
      <c r="C31" s="212">
        <f>(Лист1!C39+Лист2!C29+Лист3!C29+Лист4!C30+Лист5!C31+Лист7!C34+Лист8!C32+Лист9!C31+Лист10!C31)</f>
        <v>0</v>
      </c>
      <c r="D31" s="59">
        <f>IF(B31=0,"   ",C31/B31*100)</f>
        <v>0</v>
      </c>
      <c r="E31" s="60">
        <f>C31-B31</f>
        <v>-3766201</v>
      </c>
    </row>
    <row r="32" spans="1:5" ht="63.75">
      <c r="A32" s="16" t="s">
        <v>223</v>
      </c>
      <c r="B32" s="194">
        <f>Лист8!B31</f>
        <v>0</v>
      </c>
      <c r="C32" s="194">
        <f>Лист8!C31</f>
        <v>0</v>
      </c>
      <c r="D32" s="59" t="str">
        <f>IF(B32=0,"   ",C32/B32*100)</f>
        <v>   </v>
      </c>
      <c r="E32" s="60">
        <f>C32-B32</f>
        <v>0</v>
      </c>
    </row>
    <row r="33" spans="1:5" ht="51">
      <c r="A33" s="16" t="s">
        <v>115</v>
      </c>
      <c r="B33" s="212">
        <f>Лист1!B40+Лист3!B30+Лист4!B29+Лист5!B32+Лист8!B33+Лист9!B30+Лист10!B30</f>
        <v>1880000</v>
      </c>
      <c r="C33" s="212">
        <f>Лист3!C30+Лист4!C29+Лист5!C32+Лист8!C33+Лист9!C30+Лист10!C30</f>
        <v>0</v>
      </c>
      <c r="D33" s="59">
        <f>IF(B33=0,"   ",C33/B33*100)</f>
        <v>0</v>
      </c>
      <c r="E33" s="60">
        <f>C33-B33</f>
        <v>-1880000</v>
      </c>
    </row>
    <row r="34" spans="1:5" ht="12.75">
      <c r="A34" s="16" t="s">
        <v>201</v>
      </c>
      <c r="B34" s="194">
        <f>B36+B37+B38+B39</f>
        <v>2831100</v>
      </c>
      <c r="C34" s="194">
        <f>C36+C37+C38+C39</f>
        <v>430773</v>
      </c>
      <c r="D34" s="59">
        <f>IF(B34=0,"   ",C34/B34*100)</f>
        <v>15.215746529617464</v>
      </c>
      <c r="E34" s="60">
        <f>C34-B34</f>
        <v>-2400327</v>
      </c>
    </row>
    <row r="35" spans="1:5" ht="12.75">
      <c r="A35" s="16" t="s">
        <v>224</v>
      </c>
      <c r="B35" s="194"/>
      <c r="C35" s="194"/>
      <c r="D35" s="59"/>
      <c r="E35" s="60"/>
    </row>
    <row r="36" spans="1:5" s="77" customFormat="1" ht="25.5">
      <c r="A36" s="48" t="s">
        <v>225</v>
      </c>
      <c r="B36" s="208">
        <f>Лист1!B43</f>
        <v>784000</v>
      </c>
      <c r="C36" s="208">
        <f>Лист1!C43</f>
        <v>0</v>
      </c>
      <c r="D36" s="84">
        <f>IF(B36=0,"   ",C36/B36*100)</f>
        <v>0</v>
      </c>
      <c r="E36" s="85">
        <f>C36-B36</f>
        <v>-784000</v>
      </c>
    </row>
    <row r="37" spans="1:5" s="77" customFormat="1" ht="51">
      <c r="A37" s="48" t="s">
        <v>227</v>
      </c>
      <c r="B37" s="208">
        <f>Лист1!B44+Лист2!B32+Лист3!B35+Лист4!B34+Лист5!B35+Лист6!B32+Лист8!B37+Лист9!B34+Лист10!B34</f>
        <v>2047100</v>
      </c>
      <c r="C37" s="208">
        <f>Лист1!C44+Лист2!C32+Лист3!C35+Лист4!C34+Лист5!C35+Лист6!C32+Лист8!C37+Лист9!C34+Лист10!C34</f>
        <v>430773</v>
      </c>
      <c r="D37" s="84">
        <f>IF(B37=0,"   ",C37/B37*100)</f>
        <v>21.043085340237408</v>
      </c>
      <c r="E37" s="85">
        <f>C37-B37</f>
        <v>-1616327</v>
      </c>
    </row>
    <row r="38" spans="1:5" s="77" customFormat="1" ht="25.5">
      <c r="A38" s="48" t="s">
        <v>226</v>
      </c>
      <c r="B38" s="208">
        <v>0</v>
      </c>
      <c r="C38" s="208">
        <v>0</v>
      </c>
      <c r="D38" s="84" t="str">
        <f>IF(B38=0,"   ",C38/B38*100)</f>
        <v>   </v>
      </c>
      <c r="E38" s="85">
        <f>C38-B38</f>
        <v>0</v>
      </c>
    </row>
    <row r="39" spans="1:5" s="77" customFormat="1" ht="38.25">
      <c r="A39" s="48" t="s">
        <v>228</v>
      </c>
      <c r="B39" s="208">
        <f>Лист3!B31</f>
        <v>0</v>
      </c>
      <c r="C39" s="208">
        <f>Лист3!C31</f>
        <v>0</v>
      </c>
      <c r="D39" s="84" t="str">
        <f>IF(B39=0,"   ",C39/B39*100)</f>
        <v>   </v>
      </c>
      <c r="E39" s="85">
        <f>C39-B39</f>
        <v>0</v>
      </c>
    </row>
    <row r="40" spans="1:5" s="77" customFormat="1" ht="12.75">
      <c r="A40" s="230" t="s">
        <v>26</v>
      </c>
      <c r="B40" s="221">
        <f>B42+B43+B44</f>
        <v>3009600</v>
      </c>
      <c r="C40" s="208">
        <f>C42+C43+C44</f>
        <v>781300</v>
      </c>
      <c r="D40" s="84">
        <f>IF(B40=0,"   ",C40/B40*100)</f>
        <v>25.960260499734183</v>
      </c>
      <c r="E40" s="85">
        <f>C40-B40</f>
        <v>-2228300</v>
      </c>
    </row>
    <row r="41" spans="1:5" ht="12.75">
      <c r="A41" s="17" t="s">
        <v>222</v>
      </c>
      <c r="B41" s="192"/>
      <c r="C41" s="192"/>
      <c r="D41" s="59"/>
      <c r="E41" s="60"/>
    </row>
    <row r="42" spans="1:5" ht="51">
      <c r="A42" s="201" t="s">
        <v>69</v>
      </c>
      <c r="B42" s="227">
        <f>Лист1!B37+Лист2!B27+Лист3!B27+Лист4!B27+Лист5!B28+Лист6!B27+Лист7!B29+Лист8!B29+Лист9!B28+Лист10!B27</f>
        <v>780400</v>
      </c>
      <c r="C42" s="227">
        <f>Лист1!C37+Лист2!C27+Лист3!C27+Лист4!C27+Лист5!C28+Лист6!C27+Лист7!C29+Лист8!C29+Лист9!C28+Лист10!C27</f>
        <v>780400</v>
      </c>
      <c r="D42" s="203">
        <f>IF(B42=0,"   ",C42/B42*100)</f>
        <v>100</v>
      </c>
      <c r="E42" s="204">
        <f>C42-B42</f>
        <v>0</v>
      </c>
    </row>
    <row r="43" spans="1:5" ht="38.25">
      <c r="A43" s="16" t="s">
        <v>70</v>
      </c>
      <c r="B43" s="194">
        <f>Лист1!B38+Лист2!B28+Лист3!B28+Лист4!B28+Лист5!B29+Лист6!B28+Лист7!B31+Лист8!B30+Лист9!B29+Лист10!B28</f>
        <v>1800</v>
      </c>
      <c r="C43" s="194">
        <f>Лист1!C38+Лист2!C28+Лист3!C28+Лист4!C28+Лист5!C29+Лист6!C28+Лист7!C31+Лист8!C30+Лист9!C29+Лист10!C28</f>
        <v>900</v>
      </c>
      <c r="D43" s="59">
        <f>IF(B43=0,"   ",C43/B43*100)</f>
        <v>50</v>
      </c>
      <c r="E43" s="60">
        <f>C43-B43</f>
        <v>-900</v>
      </c>
    </row>
    <row r="44" spans="1:5" ht="76.5">
      <c r="A44" s="16" t="s">
        <v>229</v>
      </c>
      <c r="B44" s="212">
        <f>Лист6!B33+Лист7!B30</f>
        <v>2227400</v>
      </c>
      <c r="C44" s="194">
        <f>Лист4!C31+Лист7!C30+Лист10!C29</f>
        <v>0</v>
      </c>
      <c r="D44" s="59">
        <f t="shared" si="2"/>
        <v>0</v>
      </c>
      <c r="E44" s="60">
        <f t="shared" si="1"/>
        <v>-2227400</v>
      </c>
    </row>
    <row r="45" spans="1:5" ht="12.75">
      <c r="A45" s="230" t="s">
        <v>230</v>
      </c>
      <c r="B45" s="212">
        <f>B47+B48</f>
        <v>1060000</v>
      </c>
      <c r="C45" s="194">
        <f>C47+C48</f>
        <v>412600</v>
      </c>
      <c r="D45" s="59">
        <f t="shared" si="2"/>
        <v>38.92452830188679</v>
      </c>
      <c r="E45" s="60">
        <f t="shared" si="1"/>
        <v>-647400</v>
      </c>
    </row>
    <row r="46" spans="1:5" ht="12.75">
      <c r="A46" s="17" t="s">
        <v>222</v>
      </c>
      <c r="B46" s="192"/>
      <c r="C46" s="192"/>
      <c r="D46" s="59"/>
      <c r="E46" s="60"/>
    </row>
    <row r="47" spans="1:5" ht="63.75">
      <c r="A47" s="16" t="s">
        <v>150</v>
      </c>
      <c r="B47" s="212">
        <f>Лист3!B33+Лист5!B36+Лист6!B34+Лист7!B33+Лист8!B34+Лист9!B35+Лист10!B35</f>
        <v>1000000</v>
      </c>
      <c r="C47" s="194">
        <f>Лист3!C33+Лист5!C36+Лист6!C34+Лист7!C33+Лист8!C34+Лист9!C35+Лист10!C35</f>
        <v>352600</v>
      </c>
      <c r="D47" s="59">
        <f>IF(B47=0,"   ",C47/B47*100)</f>
        <v>35.260000000000005</v>
      </c>
      <c r="E47" s="60">
        <f>C47-B47</f>
        <v>-647400</v>
      </c>
    </row>
    <row r="48" spans="1:5" ht="51">
      <c r="A48" s="201" t="s">
        <v>174</v>
      </c>
      <c r="B48" s="227">
        <f>Лист1!B41+Лист2!B30+Лист3!B32+Лист4!B32+Лист5!B33+Лист6!B30+Лист7!B35+Лист8!B35+Лист9!B32+Лист10!B32</f>
        <v>60000</v>
      </c>
      <c r="C48" s="227">
        <f>Лист1!C41+Лист2!C30+Лист3!C32+Лист4!C32+Лист5!C33+Лист6!C30+Лист7!C35+Лист8!C35+Лист9!C32+Лист10!C32</f>
        <v>60000</v>
      </c>
      <c r="D48" s="203">
        <f>IF(B48=0,"   ",C48/B48*100)</f>
        <v>100</v>
      </c>
      <c r="E48" s="204">
        <f>C48-B48</f>
        <v>0</v>
      </c>
    </row>
    <row r="49" spans="1:5" ht="25.5">
      <c r="A49" s="231" t="s">
        <v>122</v>
      </c>
      <c r="B49" s="194">
        <v>0</v>
      </c>
      <c r="C49" s="194">
        <f>Лист8!C26</f>
        <v>-156561.7</v>
      </c>
      <c r="D49" s="203" t="str">
        <f>IF(B49=0,"   ",C49/B49*100)</f>
        <v>   </v>
      </c>
      <c r="E49" s="60"/>
    </row>
    <row r="50" spans="1:5" ht="12.75">
      <c r="A50" s="138" t="s">
        <v>192</v>
      </c>
      <c r="B50" s="169">
        <f>B27+B28+B29+B40+B45+B49</f>
        <v>32626301</v>
      </c>
      <c r="C50" s="169">
        <f>C27+C28+C29+C40+C45+C49</f>
        <v>10449861.3</v>
      </c>
      <c r="D50" s="228">
        <f t="shared" si="2"/>
        <v>32.02894897585847</v>
      </c>
      <c r="E50" s="229">
        <f aca="true" t="shared" si="3" ref="E50:E79">C50-B50</f>
        <v>-22176439.7</v>
      </c>
    </row>
    <row r="51" spans="1:5" ht="25.5">
      <c r="A51" s="16" t="s">
        <v>47</v>
      </c>
      <c r="B51" s="194">
        <f>Лист1!B45+Лист2!B33+Лист3!B36+Лист4!B35+Лист5!B37+Лист6!B35+Лист7!B37+Лист8!B38+Лист9!B36+Лист10!B36</f>
        <v>0</v>
      </c>
      <c r="C51" s="194">
        <f>Лист1!C45+Лист2!C33+Лист3!C36+Лист4!C35+Лист5!C37+Лист6!C35+Лист7!C37+Лист8!C38+Лист9!C36+Лист10!C36</f>
        <v>0</v>
      </c>
      <c r="D51" s="59" t="str">
        <f t="shared" si="2"/>
        <v>   </v>
      </c>
      <c r="E51" s="60">
        <f t="shared" si="3"/>
        <v>0</v>
      </c>
    </row>
    <row r="52" spans="1:5" ht="18.75" customHeight="1">
      <c r="A52" s="165" t="s">
        <v>14</v>
      </c>
      <c r="B52" s="166">
        <f>B26+B50+B51</f>
        <v>47990401</v>
      </c>
      <c r="C52" s="166">
        <f>C26+C50+C51</f>
        <v>15736394.68</v>
      </c>
      <c r="D52" s="140">
        <f t="shared" si="2"/>
        <v>32.79071304280204</v>
      </c>
      <c r="E52" s="141">
        <f t="shared" si="3"/>
        <v>-32254006.32</v>
      </c>
    </row>
    <row r="53" spans="1:5" ht="25.5">
      <c r="A53" s="30" t="s">
        <v>66</v>
      </c>
      <c r="B53" s="194"/>
      <c r="C53" s="194"/>
      <c r="D53" s="59" t="str">
        <f t="shared" si="2"/>
        <v>   </v>
      </c>
      <c r="E53" s="60">
        <f t="shared" si="3"/>
        <v>0</v>
      </c>
    </row>
    <row r="54" spans="1:5" ht="12.75">
      <c r="A54" s="22" t="s">
        <v>15</v>
      </c>
      <c r="B54" s="222"/>
      <c r="C54" s="223"/>
      <c r="D54" s="59" t="str">
        <f t="shared" si="2"/>
        <v>   </v>
      </c>
      <c r="E54" s="60">
        <f t="shared" si="3"/>
        <v>0</v>
      </c>
    </row>
    <row r="55" spans="1:5" ht="12.75">
      <c r="A55" s="16" t="s">
        <v>48</v>
      </c>
      <c r="B55" s="212">
        <f>Лист1!B62+Лист2!B37+Лист3!B39+Лист4!B38+Лист5!B41+Лист6!B38+Лист7!B41+Лист8!B41+Лист9!B39+Лист10!B40</f>
        <v>9043850</v>
      </c>
      <c r="C55" s="212">
        <f>Лист1!C62+Лист2!C37+Лист3!C39+Лист4!C38+Лист5!C41+Лист6!C38+Лист7!C41+Лист8!C41+Лист9!C39+Лист10!C40</f>
        <v>3692242.9899999998</v>
      </c>
      <c r="D55" s="59">
        <f t="shared" si="2"/>
        <v>40.826008724160616</v>
      </c>
      <c r="E55" s="60">
        <f t="shared" si="3"/>
        <v>-5351607.01</v>
      </c>
    </row>
    <row r="56" spans="1:5" ht="25.5" customHeight="1">
      <c r="A56" s="16" t="s">
        <v>49</v>
      </c>
      <c r="B56" s="212">
        <f>Лист1!B63+Лист2!B38+Лист3!B40+Лист4!B39+Лист5!B42+Лист6!B39+Лист7!B42+Лист8!B42+Лист9!B40+Лист10!B41</f>
        <v>8700370</v>
      </c>
      <c r="C56" s="212">
        <f>Лист1!C63+Лист2!C38+Лист3!C40+Лист4!C39+Лист5!C42+Лист6!C39+Лист7!C42+Лист8!C42+Лист9!C40+Лист10!C41</f>
        <v>3661061.4200000004</v>
      </c>
      <c r="D56" s="59">
        <f t="shared" si="2"/>
        <v>42.079376164461976</v>
      </c>
      <c r="E56" s="60">
        <f t="shared" si="3"/>
        <v>-5039308.58</v>
      </c>
    </row>
    <row r="57" spans="1:5" ht="12.75">
      <c r="A57" s="16" t="s">
        <v>259</v>
      </c>
      <c r="B57" s="212">
        <f>Лист1!B64+Лист2!B39+Лист3!B41+Лист4!B40+Лист5!B43+Лист6!B40+Лист7!B43+Лист8!B43+Лист9!B41+Лист10!B42</f>
        <v>5503500</v>
      </c>
      <c r="C57" s="212">
        <f>Лист1!C64+Лист2!C39+Лист3!C41+Лист4!C40+Лист5!C43+Лист6!C40+Лист7!C43+Лист8!C43+Лист9!C41+Лист10!C42</f>
        <v>2291632.33</v>
      </c>
      <c r="D57" s="59">
        <f t="shared" si="2"/>
        <v>41.63954447169983</v>
      </c>
      <c r="E57" s="60">
        <f t="shared" si="3"/>
        <v>-3211867.67</v>
      </c>
    </row>
    <row r="58" spans="1:5" ht="38.25">
      <c r="A58" s="16" t="s">
        <v>231</v>
      </c>
      <c r="B58" s="212">
        <f>Лист1!B65+Лист2!B40+Лист3!B42+Лист4!B41+Лист5!B44+Лист6!B41+Лист7!B44+Лист8!B44+Лист9!B42+Лист10!B43</f>
        <v>1800</v>
      </c>
      <c r="C58" s="212">
        <f>Лист1!C65+Лист2!C40+Лист3!C42+Лист4!C41+Лист5!C44+Лист6!C41+Лист7!C44+Лист8!C44+Лист9!C42+Лист10!C43</f>
        <v>0</v>
      </c>
      <c r="D58" s="59">
        <f t="shared" si="2"/>
        <v>0</v>
      </c>
      <c r="E58" s="60">
        <f t="shared" si="3"/>
        <v>-1800</v>
      </c>
    </row>
    <row r="59" spans="1:5" ht="12.75">
      <c r="A59" s="16" t="s">
        <v>166</v>
      </c>
      <c r="B59" s="212">
        <f>Лист1!B66+Лист2!B41+Лист3!B43+Лист4!B42+Лист5!B45+Лист6!B42+Лист7!B45+Лист8!B45+Лист9!B43+Лист10!B44</f>
        <v>54500</v>
      </c>
      <c r="C59" s="212">
        <f>Лист1!C66+Лист2!C41+Лист3!C43+Лист4!C42+Лист5!C45+Лист6!C42+Лист7!C45+Лист8!C45+Лист9!C43+Лист10!C44</f>
        <v>0</v>
      </c>
      <c r="D59" s="59">
        <f t="shared" si="2"/>
        <v>0</v>
      </c>
      <c r="E59" s="60">
        <f t="shared" si="3"/>
        <v>-54500</v>
      </c>
    </row>
    <row r="60" spans="1:5" ht="12.75">
      <c r="A60" s="16" t="s">
        <v>71</v>
      </c>
      <c r="B60" s="224">
        <f>B61</f>
        <v>265420</v>
      </c>
      <c r="C60" s="224">
        <f>C61</f>
        <v>31181.57</v>
      </c>
      <c r="D60" s="59">
        <f t="shared" si="2"/>
        <v>11.748010700022606</v>
      </c>
      <c r="E60" s="60">
        <f t="shared" si="3"/>
        <v>-234238.43</v>
      </c>
    </row>
    <row r="61" spans="1:5" ht="25.5">
      <c r="A61" s="16" t="s">
        <v>158</v>
      </c>
      <c r="B61" s="212">
        <f>Лист1!B68+Лист2!B42+Лист3!B45+Лист7!B47+Лист8!B47+Лист9!B45</f>
        <v>265420</v>
      </c>
      <c r="C61" s="212">
        <f>Лист1!C68+Лист2!C42+Лист3!C45+Лист7!C47+Лист8!C47+Лист9!C45</f>
        <v>31181.57</v>
      </c>
      <c r="D61" s="59">
        <f t="shared" si="2"/>
        <v>11.748010700022606</v>
      </c>
      <c r="E61" s="60">
        <f t="shared" si="3"/>
        <v>-234238.43</v>
      </c>
    </row>
    <row r="62" spans="1:5" ht="12.75">
      <c r="A62" s="16" t="s">
        <v>67</v>
      </c>
      <c r="B62" s="224">
        <f>SUM(B63)</f>
        <v>780400</v>
      </c>
      <c r="C62" s="224">
        <f>SUM(C63)</f>
        <v>322136.26</v>
      </c>
      <c r="D62" s="59">
        <f t="shared" si="2"/>
        <v>41.2783521271143</v>
      </c>
      <c r="E62" s="60">
        <f t="shared" si="3"/>
        <v>-458263.74</v>
      </c>
    </row>
    <row r="63" spans="1:5" ht="25.5">
      <c r="A63" s="16" t="s">
        <v>207</v>
      </c>
      <c r="B63" s="212">
        <f>Лист1!B70+Лист2!B44+Лист3!B47+Лист4!B44+Лист5!B47+Лист6!B44+Лист7!B49+Лист8!B49+Лист9!B47+Лист10!B46</f>
        <v>780400</v>
      </c>
      <c r="C63" s="212">
        <f>Лист1!C70+Лист2!C44+Лист3!C47+Лист4!C44+Лист5!C47+Лист6!C44+Лист7!C49+Лист8!C49+Лист9!C47+Лист10!C46</f>
        <v>322136.26</v>
      </c>
      <c r="D63" s="59">
        <f t="shared" si="2"/>
        <v>41.2783521271143</v>
      </c>
      <c r="E63" s="60">
        <f t="shared" si="3"/>
        <v>-458263.74</v>
      </c>
    </row>
    <row r="64" spans="1:5" ht="25.5">
      <c r="A64" s="16" t="s">
        <v>50</v>
      </c>
      <c r="B64" s="212">
        <f>Лист1!B71+Лист2!B45+Лист3!B48+Лист4!B45+Лист5!B48+Лист6!B45+Лист7!B50+Лист8!B50+Лист9!B48+Лист10!B47</f>
        <v>245900</v>
      </c>
      <c r="C64" s="212">
        <f>Лист1!C71+Лист2!C45+Лист3!C48+Лист4!C45+Лист5!C48+Лист6!C45+Лист7!C50+Лист8!C50+Лист9!C48+Лист10!C47</f>
        <v>58408.83</v>
      </c>
      <c r="D64" s="59">
        <f t="shared" si="2"/>
        <v>23.753082553883694</v>
      </c>
      <c r="E64" s="60">
        <f t="shared" si="3"/>
        <v>-187491.16999999998</v>
      </c>
    </row>
    <row r="65" spans="1:5" ht="38.25">
      <c r="A65" s="16" t="s">
        <v>147</v>
      </c>
      <c r="B65" s="224">
        <f>Лист7!B51</f>
        <v>180500</v>
      </c>
      <c r="C65" s="224">
        <f>Лист7!C51</f>
        <v>48787.45</v>
      </c>
      <c r="D65" s="59">
        <f t="shared" si="2"/>
        <v>27.029058171745152</v>
      </c>
      <c r="E65" s="60">
        <f t="shared" si="3"/>
        <v>-131712.55</v>
      </c>
    </row>
    <row r="66" spans="1:5" ht="12.75">
      <c r="A66" s="16" t="s">
        <v>167</v>
      </c>
      <c r="B66" s="212">
        <f>Лист7!B52</f>
        <v>172500</v>
      </c>
      <c r="C66" s="212">
        <f>Лист7!C52</f>
        <v>58408.83</v>
      </c>
      <c r="D66" s="59">
        <f t="shared" si="2"/>
        <v>33.86019130434782</v>
      </c>
      <c r="E66" s="60">
        <f t="shared" si="3"/>
        <v>-114091.17</v>
      </c>
    </row>
    <row r="67" spans="1:5" ht="12.75">
      <c r="A67" s="119" t="s">
        <v>259</v>
      </c>
      <c r="B67" s="212">
        <f>Лист7!B53</f>
        <v>122000</v>
      </c>
      <c r="C67" s="212">
        <f>Лист7!C53</f>
        <v>38783.72</v>
      </c>
      <c r="D67" s="26">
        <f t="shared" si="2"/>
        <v>31.78993442622951</v>
      </c>
      <c r="E67" s="50">
        <f t="shared" si="3"/>
        <v>-83216.28</v>
      </c>
    </row>
    <row r="68" spans="1:5" ht="12.75">
      <c r="A68" s="16" t="s">
        <v>168</v>
      </c>
      <c r="B68" s="212">
        <f>Лист1!B72+Лист2!B46+Лист3!B49+Лист4!B46+Лист5!B49+Лист6!B46+Лист7!B54+Лист8!B51+Лист9!B49+Лист10!B48</f>
        <v>65400</v>
      </c>
      <c r="C68" s="212">
        <f>Лист1!C72+Лист2!C46+Лист3!C49+Лист4!C46+Лист5!C49+Лист6!C46+Лист7!C54+Лист8!C51+Лист9!C49+Лист10!C48</f>
        <v>0</v>
      </c>
      <c r="D68" s="59">
        <f t="shared" si="2"/>
        <v>0</v>
      </c>
      <c r="E68" s="60">
        <f t="shared" si="3"/>
        <v>-65400</v>
      </c>
    </row>
    <row r="69" spans="1:5" ht="12.75">
      <c r="A69" s="16" t="s">
        <v>51</v>
      </c>
      <c r="B69" s="220">
        <f>B70</f>
        <v>0</v>
      </c>
      <c r="C69" s="220">
        <f>C70</f>
        <v>0</v>
      </c>
      <c r="D69" s="59" t="str">
        <f t="shared" si="2"/>
        <v>   </v>
      </c>
      <c r="E69" s="60">
        <f t="shared" si="3"/>
        <v>0</v>
      </c>
    </row>
    <row r="70" spans="1:5" ht="25.5">
      <c r="A70" s="16" t="s">
        <v>183</v>
      </c>
      <c r="B70" s="194">
        <f>B71+B72+B73</f>
        <v>0</v>
      </c>
      <c r="C70" s="194">
        <f>C71+C72+C73</f>
        <v>0</v>
      </c>
      <c r="D70" s="26" t="str">
        <f t="shared" si="2"/>
        <v>   </v>
      </c>
      <c r="E70" s="50">
        <f t="shared" si="3"/>
        <v>0</v>
      </c>
    </row>
    <row r="71" spans="1:5" ht="12.75">
      <c r="A71" s="16" t="s">
        <v>184</v>
      </c>
      <c r="B71" s="194">
        <f>Лист8!B55</f>
        <v>0</v>
      </c>
      <c r="C71" s="194">
        <f>Лист8!C55</f>
        <v>0</v>
      </c>
      <c r="D71" s="26" t="str">
        <f t="shared" si="2"/>
        <v>   </v>
      </c>
      <c r="E71" s="50">
        <f t="shared" si="3"/>
        <v>0</v>
      </c>
    </row>
    <row r="72" spans="1:5" ht="12.75" customHeight="1">
      <c r="A72" s="16" t="s">
        <v>185</v>
      </c>
      <c r="B72" s="194">
        <f>Лист8!B56</f>
        <v>0</v>
      </c>
      <c r="C72" s="194">
        <f>Лист8!C56</f>
        <v>0</v>
      </c>
      <c r="D72" s="26" t="str">
        <f t="shared" si="2"/>
        <v>   </v>
      </c>
      <c r="E72" s="50">
        <f t="shared" si="3"/>
        <v>0</v>
      </c>
    </row>
    <row r="73" spans="1:5" ht="12.75" customHeight="1">
      <c r="A73" s="16" t="s">
        <v>232</v>
      </c>
      <c r="B73" s="194">
        <f>Лист1!B75</f>
        <v>0</v>
      </c>
      <c r="C73" s="194">
        <f>Лист1!C75</f>
        <v>0</v>
      </c>
      <c r="D73" s="26" t="str">
        <f t="shared" si="2"/>
        <v>   </v>
      </c>
      <c r="E73" s="50">
        <f t="shared" si="3"/>
        <v>0</v>
      </c>
    </row>
    <row r="74" spans="1:5" ht="25.5">
      <c r="A74" s="16" t="s">
        <v>61</v>
      </c>
      <c r="B74" s="194">
        <v>0</v>
      </c>
      <c r="C74" s="194">
        <v>0</v>
      </c>
      <c r="D74" s="59" t="str">
        <f t="shared" si="2"/>
        <v>   </v>
      </c>
      <c r="E74" s="60">
        <f t="shared" si="3"/>
        <v>0</v>
      </c>
    </row>
    <row r="75" spans="1:5" ht="12.75">
      <c r="A75" s="16" t="s">
        <v>189</v>
      </c>
      <c r="B75" s="224">
        <v>0</v>
      </c>
      <c r="C75" s="224">
        <v>0</v>
      </c>
      <c r="D75" s="59" t="str">
        <f t="shared" si="2"/>
        <v>   </v>
      </c>
      <c r="E75" s="60">
        <f t="shared" si="3"/>
        <v>0</v>
      </c>
    </row>
    <row r="76" spans="1:5" ht="25.5">
      <c r="A76" s="16" t="s">
        <v>188</v>
      </c>
      <c r="B76" s="212">
        <v>0</v>
      </c>
      <c r="C76" s="212">
        <v>0</v>
      </c>
      <c r="D76" s="59" t="str">
        <f t="shared" si="2"/>
        <v>   </v>
      </c>
      <c r="E76" s="60">
        <f t="shared" si="3"/>
        <v>0</v>
      </c>
    </row>
    <row r="77" spans="1:5" ht="12.75">
      <c r="A77" s="16" t="s">
        <v>184</v>
      </c>
      <c r="B77" s="212">
        <v>0</v>
      </c>
      <c r="C77" s="212">
        <v>0</v>
      </c>
      <c r="D77" s="59" t="str">
        <f t="shared" si="2"/>
        <v>   </v>
      </c>
      <c r="E77" s="60">
        <f t="shared" si="3"/>
        <v>0</v>
      </c>
    </row>
    <row r="78" spans="1:5" ht="12.75">
      <c r="A78" s="16" t="s">
        <v>185</v>
      </c>
      <c r="B78" s="212">
        <v>0</v>
      </c>
      <c r="C78" s="212">
        <v>0</v>
      </c>
      <c r="D78" s="59" t="str">
        <f t="shared" si="2"/>
        <v>   </v>
      </c>
      <c r="E78" s="60">
        <f t="shared" si="3"/>
        <v>0</v>
      </c>
    </row>
    <row r="79" spans="1:5" ht="25.5">
      <c r="A79" s="16" t="s">
        <v>232</v>
      </c>
      <c r="B79" s="212">
        <v>0</v>
      </c>
      <c r="C79" s="212">
        <v>0</v>
      </c>
      <c r="D79" s="59" t="str">
        <f t="shared" si="2"/>
        <v>   </v>
      </c>
      <c r="E79" s="60">
        <f t="shared" si="3"/>
        <v>0</v>
      </c>
    </row>
    <row r="80" spans="1:5" ht="24">
      <c r="A80" s="43" t="s">
        <v>194</v>
      </c>
      <c r="B80" s="212">
        <v>0</v>
      </c>
      <c r="C80" s="212">
        <v>0</v>
      </c>
      <c r="D80" s="59" t="str">
        <f t="shared" si="2"/>
        <v>   </v>
      </c>
      <c r="E80" s="60">
        <f aca="true" t="shared" si="4" ref="E80:E111">C80-B80</f>
        <v>0</v>
      </c>
    </row>
    <row r="81" spans="1:5" ht="12.75">
      <c r="A81" s="16" t="s">
        <v>16</v>
      </c>
      <c r="B81" s="212">
        <f>SUM(B82,B84,B91,)</f>
        <v>13648977.21</v>
      </c>
      <c r="C81" s="212">
        <f>SUM(C82,C84,C91,)</f>
        <v>5293175.67</v>
      </c>
      <c r="D81" s="59">
        <f t="shared" si="2"/>
        <v>38.780749565043784</v>
      </c>
      <c r="E81" s="60">
        <f t="shared" si="4"/>
        <v>-8355801.540000001</v>
      </c>
    </row>
    <row r="82" spans="1:5" ht="12.75">
      <c r="A82" s="16" t="s">
        <v>17</v>
      </c>
      <c r="B82" s="212">
        <f>Лист7!B59+Лист9!B52</f>
        <v>935830</v>
      </c>
      <c r="C82" s="212">
        <f>Лист7!C59+Лист9!C52</f>
        <v>382909</v>
      </c>
      <c r="D82" s="59">
        <f t="shared" si="2"/>
        <v>40.91651261447058</v>
      </c>
      <c r="E82" s="60">
        <f t="shared" si="4"/>
        <v>-552921</v>
      </c>
    </row>
    <row r="83" spans="1:5" ht="12.75">
      <c r="A83" s="16" t="s">
        <v>154</v>
      </c>
      <c r="B83" s="212">
        <f>Лист7!B60+Лист9!B53</f>
        <v>583200</v>
      </c>
      <c r="C83" s="212">
        <f>Лист7!C60+Лист9!C53</f>
        <v>30279</v>
      </c>
      <c r="D83" s="59">
        <v>0</v>
      </c>
      <c r="E83" s="60">
        <f t="shared" si="4"/>
        <v>-552921</v>
      </c>
    </row>
    <row r="84" spans="1:5" ht="12.75">
      <c r="A84" s="16" t="s">
        <v>98</v>
      </c>
      <c r="B84" s="212">
        <f>SUM(B86:B89)</f>
        <v>2250347.21</v>
      </c>
      <c r="C84" s="212">
        <f>SUM(C86:C89)</f>
        <v>249926.33</v>
      </c>
      <c r="D84" s="59">
        <f aca="true" t="shared" si="5" ref="D84:D139">IF(B84=0,"   ",C84/B84*100)</f>
        <v>11.106123041341695</v>
      </c>
      <c r="E84" s="60">
        <f t="shared" si="4"/>
        <v>-2000420.88</v>
      </c>
    </row>
    <row r="85" spans="1:5" ht="12.75">
      <c r="A85" s="16" t="s">
        <v>99</v>
      </c>
      <c r="B85" s="212">
        <f>Лист7!B65</f>
        <v>31707.21</v>
      </c>
      <c r="C85" s="212">
        <f>Лист7!C65</f>
        <v>31707.21</v>
      </c>
      <c r="D85" s="59">
        <f t="shared" si="5"/>
        <v>100</v>
      </c>
      <c r="E85" s="60">
        <f t="shared" si="4"/>
        <v>0</v>
      </c>
    </row>
    <row r="86" spans="1:5" ht="78" customHeight="1">
      <c r="A86" s="16" t="s">
        <v>265</v>
      </c>
      <c r="B86" s="212">
        <f>Лист7!B66</f>
        <v>500000</v>
      </c>
      <c r="C86" s="212">
        <v>0</v>
      </c>
      <c r="D86" s="59">
        <v>0</v>
      </c>
      <c r="E86" s="60">
        <f>C86-B86</f>
        <v>-500000</v>
      </c>
    </row>
    <row r="87" spans="1:5" ht="76.5" customHeight="1">
      <c r="A87" s="16" t="s">
        <v>264</v>
      </c>
      <c r="B87" s="212">
        <f>Лист7!B67</f>
        <v>1000000</v>
      </c>
      <c r="C87" s="212">
        <v>0</v>
      </c>
      <c r="D87" s="59">
        <v>0</v>
      </c>
      <c r="E87" s="60">
        <f>C87-B87</f>
        <v>-1000000</v>
      </c>
    </row>
    <row r="88" spans="1:5" ht="12.75">
      <c r="A88" s="16" t="s">
        <v>100</v>
      </c>
      <c r="B88" s="212">
        <f>Лист3!B53+Лист7!B64</f>
        <v>750347.21</v>
      </c>
      <c r="C88" s="212">
        <f>Лист3!C53+Лист7!C64</f>
        <v>249926.33</v>
      </c>
      <c r="D88" s="59">
        <f t="shared" si="5"/>
        <v>33.30809079705914</v>
      </c>
      <c r="E88" s="60">
        <f t="shared" si="4"/>
        <v>-500420.88</v>
      </c>
    </row>
    <row r="89" spans="1:5" ht="12.75">
      <c r="A89" s="48" t="s">
        <v>191</v>
      </c>
      <c r="B89" s="212">
        <f>Лист1!B81</f>
        <v>0</v>
      </c>
      <c r="C89" s="212">
        <f>Лист1!C81</f>
        <v>0</v>
      </c>
      <c r="D89" s="59" t="str">
        <f t="shared" si="5"/>
        <v>   </v>
      </c>
      <c r="E89" s="60">
        <f t="shared" si="4"/>
        <v>0</v>
      </c>
    </row>
    <row r="90" spans="1:5" ht="12.75">
      <c r="A90" s="48" t="s">
        <v>206</v>
      </c>
      <c r="B90" s="212">
        <f>Лист1!B82</f>
        <v>0</v>
      </c>
      <c r="C90" s="212">
        <f>Лист1!C82</f>
        <v>0</v>
      </c>
      <c r="D90" s="59" t="str">
        <f t="shared" si="5"/>
        <v>   </v>
      </c>
      <c r="E90" s="60">
        <f t="shared" si="4"/>
        <v>0</v>
      </c>
    </row>
    <row r="91" spans="1:5" ht="12.75">
      <c r="A91" s="119" t="s">
        <v>101</v>
      </c>
      <c r="B91" s="212">
        <f>B92+B93+B94+B95+B96+B97+B98+B99+B100</f>
        <v>10462800</v>
      </c>
      <c r="C91" s="212">
        <f>C92+C93+C94+C95+C96+C97+C98+C99+C100</f>
        <v>4660340.34</v>
      </c>
      <c r="D91" s="233">
        <f t="shared" si="5"/>
        <v>44.54199965592384</v>
      </c>
      <c r="E91" s="234">
        <f t="shared" si="4"/>
        <v>-5802459.66</v>
      </c>
    </row>
    <row r="92" spans="1:5" ht="12.75">
      <c r="A92" s="119" t="s">
        <v>163</v>
      </c>
      <c r="B92" s="212">
        <f>Лист6!B57</f>
        <v>0</v>
      </c>
      <c r="C92" s="212">
        <f>Лист6!C57</f>
        <v>0</v>
      </c>
      <c r="D92" s="233" t="str">
        <f t="shared" si="5"/>
        <v>   </v>
      </c>
      <c r="E92" s="234">
        <f t="shared" si="4"/>
        <v>0</v>
      </c>
    </row>
    <row r="93" spans="1:5" ht="12.75">
      <c r="A93" s="119" t="s">
        <v>236</v>
      </c>
      <c r="B93" s="212">
        <f>Лист6!B58</f>
        <v>0</v>
      </c>
      <c r="C93" s="212">
        <f>Лист6!C58</f>
        <v>0</v>
      </c>
      <c r="D93" s="233" t="str">
        <f t="shared" si="5"/>
        <v>   </v>
      </c>
      <c r="E93" s="234">
        <f t="shared" si="4"/>
        <v>0</v>
      </c>
    </row>
    <row r="94" spans="1:5" ht="12.75">
      <c r="A94" s="119" t="s">
        <v>86</v>
      </c>
      <c r="B94" s="212">
        <f>Лист1!B84+Лист2!B54+Лист3!B55+Лист4!B51+Лист5!B56+Лист6!B53+Лист7!B69+Лист8!B60+Лист9!B56+Лист10!B54</f>
        <v>3696200</v>
      </c>
      <c r="C94" s="212">
        <f>Лист1!C84+Лист2!C54+Лист3!C55+Лист4!C51+Лист5!C56+Лист6!C53+Лист7!C69+Лист8!C60+Лист9!C56+Лист10!C54</f>
        <v>1807304.46</v>
      </c>
      <c r="D94" s="233">
        <f t="shared" si="5"/>
        <v>48.89628429197554</v>
      </c>
      <c r="E94" s="234">
        <f t="shared" si="4"/>
        <v>-1888895.54</v>
      </c>
    </row>
    <row r="95" spans="1:5" ht="12.75">
      <c r="A95" s="119" t="s">
        <v>124</v>
      </c>
      <c r="B95" s="212">
        <f>Лист1!B85+Лист2!B55+Лист3!B56+Лист4!B52+Лист5!B57+Лист6!B54+Лист8!B61+Лист9!B57+Лист10!B55</f>
        <v>2047100</v>
      </c>
      <c r="C95" s="212">
        <f>Лист1!C85+Лист2!C55+Лист3!C56+Лист4!C52+Лист5!C57+Лист6!C54+Лист8!C61+Лист9!C57+Лист10!C55</f>
        <v>373044</v>
      </c>
      <c r="D95" s="233">
        <f t="shared" si="5"/>
        <v>18.22304723755557</v>
      </c>
      <c r="E95" s="234">
        <f t="shared" si="4"/>
        <v>-1674056</v>
      </c>
    </row>
    <row r="96" spans="1:5" ht="12.75">
      <c r="A96" s="119" t="s">
        <v>125</v>
      </c>
      <c r="B96" s="212">
        <f>Лист1!B86+Лист2!B56+Лист3!B57+Лист4!B53+Лист5!B58+Лист6!B55+Лист7!B70+Лист8!B62+Лист9!B58+Лист10!B56</f>
        <v>2388000</v>
      </c>
      <c r="C96" s="212">
        <f>Лист1!C86+Лист2!C56+Лист3!C57+Лист4!C53+Лист5!C58+Лист6!C55+Лист7!C70+Лист8!C62+Лист9!C58+Лист10!C56</f>
        <v>1350016.31</v>
      </c>
      <c r="D96" s="233">
        <f t="shared" si="5"/>
        <v>56.533346314907874</v>
      </c>
      <c r="E96" s="234">
        <f t="shared" si="4"/>
        <v>-1037983.69</v>
      </c>
    </row>
    <row r="97" spans="1:5" ht="12.75">
      <c r="A97" s="119" t="s">
        <v>102</v>
      </c>
      <c r="B97" s="212">
        <f>Лист7!B71</f>
        <v>300000</v>
      </c>
      <c r="C97" s="212">
        <f>Лист7!C71</f>
        <v>294000</v>
      </c>
      <c r="D97" s="233">
        <f t="shared" si="5"/>
        <v>98</v>
      </c>
      <c r="E97" s="234">
        <f t="shared" si="4"/>
        <v>-6000</v>
      </c>
    </row>
    <row r="98" spans="1:5" ht="12.75">
      <c r="A98" s="119" t="s">
        <v>103</v>
      </c>
      <c r="B98" s="212">
        <f>Лист7!B72</f>
        <v>100000</v>
      </c>
      <c r="C98" s="212">
        <f>Лист7!C72</f>
        <v>90173.83</v>
      </c>
      <c r="D98" s="233">
        <f t="shared" si="5"/>
        <v>90.17383</v>
      </c>
      <c r="E98" s="234">
        <f t="shared" si="4"/>
        <v>-9826.169999999998</v>
      </c>
    </row>
    <row r="99" spans="1:5" ht="12.75">
      <c r="A99" s="119" t="s">
        <v>104</v>
      </c>
      <c r="B99" s="212">
        <f>Лист1!B87+Лист3!B58+Лист4!B54+Лист5!B60+Лист7!B73+Лист8!B63+Лист9!B59+Лист10!B57</f>
        <v>1891500</v>
      </c>
      <c r="C99" s="212">
        <f>Лист1!C87+Лист3!C58+Лист4!C54+Лист5!C60+Лист7!C73+Лист8!C63+Лист9!C59+Лист10!C57</f>
        <v>742763.81</v>
      </c>
      <c r="D99" s="233">
        <f t="shared" si="5"/>
        <v>39.26850700502247</v>
      </c>
      <c r="E99" s="234">
        <f t="shared" si="4"/>
        <v>-1148736.19</v>
      </c>
    </row>
    <row r="100" spans="1:5" ht="25.5">
      <c r="A100" s="16" t="s">
        <v>301</v>
      </c>
      <c r="B100" s="212">
        <f>Лист7!B74</f>
        <v>40000</v>
      </c>
      <c r="C100" s="212">
        <f>Лист7!C74</f>
        <v>3037.93</v>
      </c>
      <c r="D100" s="59"/>
      <c r="E100" s="60"/>
    </row>
    <row r="101" spans="1:5" ht="15">
      <c r="A101" s="18" t="s">
        <v>24</v>
      </c>
      <c r="B101" s="208">
        <f>Лист1!B88+Лист2!B58+Лист3!B59+Лист4!B55+Лист5!B61+Лист6!B59+Лист7!B75+Лист8!B64+Лист9!B60+Лист10!B59</f>
        <v>108000</v>
      </c>
      <c r="C101" s="208">
        <f>Лист1!C88+Лист2!C58+Лист3!C59+Лист4!C55+Лист5!C61+Лист6!C59+Лист7!C75+Лист8!C64+Лист9!C60+Лист10!C59</f>
        <v>18550</v>
      </c>
      <c r="D101" s="59">
        <f t="shared" si="5"/>
        <v>17.175925925925924</v>
      </c>
      <c r="E101" s="60">
        <f t="shared" si="4"/>
        <v>-89450</v>
      </c>
    </row>
    <row r="102" spans="1:5" ht="25.5">
      <c r="A102" s="16" t="s">
        <v>54</v>
      </c>
      <c r="B102" s="192">
        <f>SUM(B103,)</f>
        <v>17266480</v>
      </c>
      <c r="C102" s="192">
        <f>SUM(C103,)</f>
        <v>6671411.01</v>
      </c>
      <c r="D102" s="59">
        <f t="shared" si="5"/>
        <v>38.63793320931655</v>
      </c>
      <c r="E102" s="60">
        <f t="shared" si="4"/>
        <v>-10595068.99</v>
      </c>
    </row>
    <row r="103" spans="1:5" ht="12.75">
      <c r="A103" s="16" t="s">
        <v>55</v>
      </c>
      <c r="B103" s="194">
        <f>Лист1!B90+Лист2!B60+Лист3!B61+Лист4!B57+Лист5!B63+Лист6!B61+Лист7!B77+Лист8!B66+Лист9!B62+Лист10!B61</f>
        <v>17266480</v>
      </c>
      <c r="C103" s="194">
        <f>Лист1!C90+Лист2!C60+Лист3!C61+Лист4!C57+Лист5!C63+Лист6!C61+Лист7!C77+Лист8!C66+Лист9!C62+Лист10!C61</f>
        <v>6671411.01</v>
      </c>
      <c r="D103" s="59">
        <f t="shared" si="5"/>
        <v>38.63793320931655</v>
      </c>
      <c r="E103" s="60">
        <f t="shared" si="4"/>
        <v>-10595068.99</v>
      </c>
    </row>
    <row r="104" spans="1:5" ht="12.75">
      <c r="A104" s="16" t="s">
        <v>259</v>
      </c>
      <c r="B104" s="212">
        <f>Лист1!B91+Лист2!B61+Лист3!B62+Лист4!B58+Лист5!B64+Лист6!B62+Лист7!B78+Лист8!B67+Лист9!B63+Лист10!B62</f>
        <v>8015190</v>
      </c>
      <c r="C104" s="212">
        <f>Лист1!C91+Лист2!C61+Лист3!C62+Лист4!C58+Лист5!C64+Лист6!C62+Лист7!C78+Лист8!C67+Лист9!C63+Лист10!C62</f>
        <v>3413798.49</v>
      </c>
      <c r="D104" s="59">
        <f t="shared" si="5"/>
        <v>42.59161030493351</v>
      </c>
      <c r="E104" s="60">
        <f t="shared" si="4"/>
        <v>-4601391.51</v>
      </c>
    </row>
    <row r="105" spans="1:5" ht="25.5">
      <c r="A105" s="16" t="s">
        <v>202</v>
      </c>
      <c r="B105" s="194">
        <f>B106+B107+B108</f>
        <v>52500</v>
      </c>
      <c r="C105" s="194">
        <f>C106+C107+C108</f>
        <v>52500</v>
      </c>
      <c r="D105" s="26">
        <f t="shared" si="5"/>
        <v>100</v>
      </c>
      <c r="E105" s="50">
        <f t="shared" si="4"/>
        <v>0</v>
      </c>
    </row>
    <row r="106" spans="1:5" ht="12.75">
      <c r="A106" s="16" t="s">
        <v>203</v>
      </c>
      <c r="B106" s="194">
        <f>Лист3!B64</f>
        <v>52500</v>
      </c>
      <c r="C106" s="194">
        <f>Лист3!C64</f>
        <v>52500</v>
      </c>
      <c r="D106" s="26">
        <f t="shared" si="5"/>
        <v>100</v>
      </c>
      <c r="E106" s="50">
        <f t="shared" si="4"/>
        <v>0</v>
      </c>
    </row>
    <row r="107" spans="1:5" ht="13.5" customHeight="1">
      <c r="A107" s="16" t="s">
        <v>233</v>
      </c>
      <c r="B107" s="194">
        <f>Лист3!B65</f>
        <v>0</v>
      </c>
      <c r="C107" s="194">
        <f>Лист3!C65</f>
        <v>0</v>
      </c>
      <c r="D107" s="26" t="str">
        <f t="shared" si="5"/>
        <v>   </v>
      </c>
      <c r="E107" s="50">
        <f t="shared" si="4"/>
        <v>0</v>
      </c>
    </row>
    <row r="108" spans="1:5" ht="12.75">
      <c r="A108" s="16" t="s">
        <v>204</v>
      </c>
      <c r="B108" s="212">
        <f>Лист3!B66</f>
        <v>0</v>
      </c>
      <c r="C108" s="212">
        <f>Лист3!C66</f>
        <v>0</v>
      </c>
      <c r="D108" s="26" t="str">
        <f t="shared" si="5"/>
        <v>   </v>
      </c>
      <c r="E108" s="50">
        <f t="shared" si="4"/>
        <v>0</v>
      </c>
    </row>
    <row r="109" spans="1:5" ht="12.75">
      <c r="A109" s="16" t="s">
        <v>208</v>
      </c>
      <c r="B109" s="212">
        <f>Лист1!B92+Лист2!B62+Лист3!B67+Лист4!B59+Лист5!B65+Лист6!B63+Лист7!B79+Лист8!B68+Лист9!B64+Лист10!B63</f>
        <v>60000</v>
      </c>
      <c r="C109" s="212">
        <f>Лист1!C92+Лист2!C62+Лист3!C67+Лист4!C59+Лист5!C65+Лист6!C63+Лист7!C79+Лист8!C68+Лист9!C64+Лист10!C63</f>
        <v>0</v>
      </c>
      <c r="D109" s="26">
        <f t="shared" si="5"/>
        <v>0</v>
      </c>
      <c r="E109" s="50">
        <f t="shared" si="4"/>
        <v>-60000</v>
      </c>
    </row>
    <row r="110" spans="1:5" ht="12.75">
      <c r="A110" s="16" t="s">
        <v>235</v>
      </c>
      <c r="B110" s="194">
        <f>Лист10!B64</f>
        <v>0</v>
      </c>
      <c r="C110" s="194">
        <f>Лист10!C64</f>
        <v>0</v>
      </c>
      <c r="D110" s="26" t="str">
        <f t="shared" si="5"/>
        <v>   </v>
      </c>
      <c r="E110" s="50">
        <f t="shared" si="4"/>
        <v>0</v>
      </c>
    </row>
    <row r="111" spans="1:5" ht="12.75">
      <c r="A111" s="16" t="s">
        <v>155</v>
      </c>
      <c r="B111" s="212">
        <f>SUM(B114,B115,B116,B123,B132)</f>
        <v>9065093.79</v>
      </c>
      <c r="C111" s="212">
        <f>SUM(C114,C115,C116,C123,C132)</f>
        <v>15150</v>
      </c>
      <c r="D111" s="59">
        <f t="shared" si="5"/>
        <v>0.16712458084782816</v>
      </c>
      <c r="E111" s="60">
        <f t="shared" si="4"/>
        <v>-9049943.79</v>
      </c>
    </row>
    <row r="112" spans="1:5" ht="25.5">
      <c r="A112" s="16" t="s">
        <v>195</v>
      </c>
      <c r="B112" s="194"/>
      <c r="C112" s="194"/>
      <c r="D112" s="59" t="str">
        <f t="shared" si="5"/>
        <v>   </v>
      </c>
      <c r="E112" s="60"/>
    </row>
    <row r="113" spans="1:5" ht="25.5">
      <c r="A113" s="16" t="s">
        <v>199</v>
      </c>
      <c r="B113" s="194"/>
      <c r="C113" s="194"/>
      <c r="D113" s="59" t="str">
        <f t="shared" si="5"/>
        <v>   </v>
      </c>
      <c r="E113" s="60"/>
    </row>
    <row r="114" spans="1:5" ht="12.75">
      <c r="A114" s="120" t="s">
        <v>177</v>
      </c>
      <c r="B114" s="199">
        <f>Лист7!B84</f>
        <v>168292.79</v>
      </c>
      <c r="C114" s="199">
        <f>Лист7!C84</f>
        <v>15150</v>
      </c>
      <c r="D114" s="59">
        <f t="shared" si="5"/>
        <v>9.002168185577053</v>
      </c>
      <c r="E114" s="60">
        <f aca="true" t="shared" si="6" ref="E114:E139">C114-B114</f>
        <v>-153142.79</v>
      </c>
    </row>
    <row r="115" spans="1:5" ht="33.75" customHeight="1">
      <c r="A115" s="120" t="s">
        <v>116</v>
      </c>
      <c r="B115" s="199">
        <f>Лист6!B73+Лист7!B85</f>
        <v>2227400</v>
      </c>
      <c r="C115" s="199">
        <f>Лист6!C73+Лист7!C85</f>
        <v>0</v>
      </c>
      <c r="D115" s="59">
        <f t="shared" si="5"/>
        <v>0</v>
      </c>
      <c r="E115" s="60">
        <f t="shared" si="6"/>
        <v>-2227400</v>
      </c>
    </row>
    <row r="116" spans="1:5" ht="28.5" customHeight="1">
      <c r="A116" s="120" t="s">
        <v>293</v>
      </c>
      <c r="B116" s="199">
        <f>SUM(B117,B120)</f>
        <v>480000</v>
      </c>
      <c r="C116" s="199">
        <f>SUM(C117,C120)</f>
        <v>0</v>
      </c>
      <c r="D116" s="59">
        <f t="shared" si="5"/>
        <v>0</v>
      </c>
      <c r="E116" s="60">
        <f t="shared" si="6"/>
        <v>-480000</v>
      </c>
    </row>
    <row r="117" spans="1:5" ht="38.25" customHeight="1">
      <c r="A117" s="127" t="s">
        <v>279</v>
      </c>
      <c r="B117" s="221">
        <f>SUM(B118:B119)</f>
        <v>400000</v>
      </c>
      <c r="C117" s="221">
        <f>SUM(C118:C119)</f>
        <v>0</v>
      </c>
      <c r="D117" s="59">
        <f t="shared" si="5"/>
        <v>0</v>
      </c>
      <c r="E117" s="60">
        <f t="shared" si="6"/>
        <v>-400000</v>
      </c>
    </row>
    <row r="118" spans="1:5" ht="15.75" customHeight="1">
      <c r="A118" s="127" t="s">
        <v>288</v>
      </c>
      <c r="B118" s="221">
        <f>SUM(Лист1!B109,Лист3!B83,Лист4!B75,Лист8!B80,Лист9!B86,Лист10!B80)</f>
        <v>400000</v>
      </c>
      <c r="C118" s="221">
        <f>SUM(Лист1!C109,Лист3!C83,Лист4!C75,Лист8!C80,Лист9!C86,Лист10!C80)</f>
        <v>0</v>
      </c>
      <c r="D118" s="59">
        <f t="shared" si="5"/>
        <v>0</v>
      </c>
      <c r="E118" s="60">
        <f t="shared" si="6"/>
        <v>-400000</v>
      </c>
    </row>
    <row r="119" spans="1:5" ht="17.25" customHeight="1">
      <c r="A119" s="127" t="s">
        <v>289</v>
      </c>
      <c r="B119" s="221">
        <f>SUM(Лист1!B110,Лист3!B84,Лист4!B76,Лист8!B81,Лист9!B87,Лист10!B81)</f>
        <v>0</v>
      </c>
      <c r="C119" s="221">
        <f>SUM(Лист1!C110,Лист3!C84,Лист4!C76,Лист8!C81,Лист9!C87,Лист10!C81)</f>
        <v>0</v>
      </c>
      <c r="D119" s="59" t="str">
        <f t="shared" si="5"/>
        <v>   </v>
      </c>
      <c r="E119" s="60">
        <f t="shared" si="6"/>
        <v>0</v>
      </c>
    </row>
    <row r="120" spans="1:5" ht="38.25" customHeight="1">
      <c r="A120" s="127" t="s">
        <v>278</v>
      </c>
      <c r="B120" s="221">
        <f>SUM(B121:B122)</f>
        <v>80000</v>
      </c>
      <c r="C120" s="221">
        <f>SUM(C121:C122)</f>
        <v>0</v>
      </c>
      <c r="D120" s="59">
        <f t="shared" si="5"/>
        <v>0</v>
      </c>
      <c r="E120" s="60">
        <f t="shared" si="6"/>
        <v>-80000</v>
      </c>
    </row>
    <row r="121" spans="1:5" ht="15" customHeight="1">
      <c r="A121" s="127" t="s">
        <v>292</v>
      </c>
      <c r="B121" s="221">
        <f>Лист3!B86+Лист4!B78</f>
        <v>80000</v>
      </c>
      <c r="C121" s="221">
        <f>Лист3!C86+Лист4!C78</f>
        <v>0</v>
      </c>
      <c r="D121" s="59">
        <f t="shared" si="5"/>
        <v>0</v>
      </c>
      <c r="E121" s="60">
        <f t="shared" si="6"/>
        <v>-80000</v>
      </c>
    </row>
    <row r="122" spans="1:5" ht="13.5" customHeight="1">
      <c r="A122" s="127" t="s">
        <v>291</v>
      </c>
      <c r="B122" s="221">
        <f>SUM(Лист1!B113,Лист3!B87,Лист4!B79,Лист8!B84,Лист9!B90,Лист10!B84)</f>
        <v>0</v>
      </c>
      <c r="C122" s="221">
        <f>SUM(Лист1!C113,Лист3!C87,Лист4!C79,Лист8!C84,Лист9!C90,Лист10!C84)</f>
        <v>0</v>
      </c>
      <c r="D122" s="59" t="str">
        <f t="shared" si="5"/>
        <v>   </v>
      </c>
      <c r="E122" s="60">
        <f t="shared" si="6"/>
        <v>0</v>
      </c>
    </row>
    <row r="123" spans="1:5" ht="33" customHeight="1">
      <c r="A123" s="120" t="s">
        <v>294</v>
      </c>
      <c r="B123" s="225">
        <f>SUM(B124,B128)</f>
        <v>2095400</v>
      </c>
      <c r="C123" s="225">
        <f>SUM(C124,C128)</f>
        <v>0</v>
      </c>
      <c r="D123" s="59">
        <f>IF(B125=0,"   ",C123/B125*100)</f>
        <v>0</v>
      </c>
      <c r="E123" s="60">
        <f t="shared" si="6"/>
        <v>-2095400</v>
      </c>
    </row>
    <row r="124" spans="1:5" ht="43.5" customHeight="1">
      <c r="A124" s="16" t="s">
        <v>279</v>
      </c>
      <c r="B124" s="226">
        <f>SUM(B125:B127)</f>
        <v>1625400</v>
      </c>
      <c r="C124" s="226">
        <f>SUM(C125:C127)</f>
        <v>0</v>
      </c>
      <c r="D124" s="59"/>
      <c r="E124" s="60">
        <f t="shared" si="6"/>
        <v>-1625400</v>
      </c>
    </row>
    <row r="125" spans="1:5" ht="16.5" customHeight="1">
      <c r="A125" s="48" t="s">
        <v>287</v>
      </c>
      <c r="B125" s="212">
        <f>SUM(Лист1!B100,Лист2!B69,Лист3!B74,Лист4!B66,Лист5!B72,Лист6!B70,Лист8!B75,Лист9!B75,Лист10!B71)</f>
        <v>930000</v>
      </c>
      <c r="C125" s="212">
        <f>SUM(Лист1!C100,Лист2!C69,Лист3!C74,Лист4!C66,Лист5!C72,Лист6!C70,Лист8!C75,Лист9!C75,Лист10!C71)</f>
        <v>0</v>
      </c>
      <c r="D125" s="59" t="str">
        <f>IF(B126=0,"   ",C125/B126*100)</f>
        <v>   </v>
      </c>
      <c r="E125" s="60">
        <f t="shared" si="6"/>
        <v>-930000</v>
      </c>
    </row>
    <row r="126" spans="1:5" ht="17.25" customHeight="1">
      <c r="A126" s="48" t="s">
        <v>288</v>
      </c>
      <c r="B126" s="221">
        <f>SUM(Лист1!B101,Лист2!B70,Лист3!B75,Лист4!B67,Лист5!B73,Лист6!B71,Лист8!B76,Лист9!B78,Лист10!B72)</f>
        <v>0</v>
      </c>
      <c r="C126" s="221">
        <f>SUM(Лист1!C101,Лист2!C70,Лист3!C75,Лист4!C67,Лист5!C73,Лист6!C71,Лист8!C76,Лист9!C78,Лист10!C72)</f>
        <v>0</v>
      </c>
      <c r="D126" s="59" t="str">
        <f t="shared" si="5"/>
        <v>   </v>
      </c>
      <c r="E126" s="60">
        <f t="shared" si="6"/>
        <v>0</v>
      </c>
    </row>
    <row r="127" spans="1:5" ht="18" customHeight="1">
      <c r="A127" s="48" t="s">
        <v>289</v>
      </c>
      <c r="B127" s="221">
        <f>SUM(Лист1!B102,Лист2!B71,Лист3!B76,Лист4!B68,Лист5!B74,Лист6!B72,Лист8!B77,Лист9!B77,Лист10!B73)</f>
        <v>695400</v>
      </c>
      <c r="C127" s="221">
        <f>SUM(Лист1!C102,Лист2!C71,Лист3!C76,Лист4!C68,Лист5!C74,Лист6!C72,Лист8!C77,Лист9!C77,Лист10!C73)</f>
        <v>0</v>
      </c>
      <c r="D127" s="59">
        <f t="shared" si="5"/>
        <v>0</v>
      </c>
      <c r="E127" s="60">
        <f t="shared" si="6"/>
        <v>-695400</v>
      </c>
    </row>
    <row r="128" spans="1:5" ht="40.5" customHeight="1">
      <c r="A128" s="16" t="s">
        <v>278</v>
      </c>
      <c r="B128" s="221">
        <f>SUM(B129:B131)</f>
        <v>470000</v>
      </c>
      <c r="C128" s="221">
        <f>SUM(C129:C131)</f>
        <v>0</v>
      </c>
      <c r="D128" s="59">
        <f t="shared" si="5"/>
        <v>0</v>
      </c>
      <c r="E128" s="60">
        <f t="shared" si="6"/>
        <v>-470000</v>
      </c>
    </row>
    <row r="129" spans="1:5" ht="18" customHeight="1">
      <c r="A129" s="48" t="s">
        <v>287</v>
      </c>
      <c r="B129" s="221">
        <f>SUM(Лист1!B104,Лист3!B78,Лист4!B70,Лист5!B76,Лист9!B81,Лист10!B75)</f>
        <v>470000</v>
      </c>
      <c r="C129" s="221">
        <f>SUM(Лист1!C104,Лист3!C78,Лист4!C70,Лист5!C76,Лист9!C81,Лист10!C75)</f>
        <v>0</v>
      </c>
      <c r="D129" s="59">
        <f t="shared" si="5"/>
        <v>0</v>
      </c>
      <c r="E129" s="60">
        <f t="shared" si="6"/>
        <v>-470000</v>
      </c>
    </row>
    <row r="130" spans="1:5" ht="18" customHeight="1">
      <c r="A130" s="48" t="s">
        <v>288</v>
      </c>
      <c r="B130" s="212">
        <f>SUM(Лист1!B105,Лист3!B79,Лист4!B71,Лист5!B77,Лист9!B82,Лист10!B76)</f>
        <v>0</v>
      </c>
      <c r="C130" s="212">
        <f>SUM(Лист1!C105,Лист3!C79,Лист4!C71,Лист5!C77,Лист9!C82,Лист10!C76)</f>
        <v>0</v>
      </c>
      <c r="D130" s="59" t="str">
        <f t="shared" si="5"/>
        <v>   </v>
      </c>
      <c r="E130" s="60">
        <f t="shared" si="6"/>
        <v>0</v>
      </c>
    </row>
    <row r="131" spans="1:5" ht="18" customHeight="1">
      <c r="A131" s="48" t="s">
        <v>289</v>
      </c>
      <c r="B131" s="212">
        <f>SUM(Лист1!B106,Лист3!B80,Лист4!B72,Лист5!B78,Лист9!B83,Лист10!B77)</f>
        <v>0</v>
      </c>
      <c r="C131" s="212">
        <f>SUM(Лист1!C106,Лист3!C80,Лист4!C72,Лист5!C78,Лист9!C83,Лист10!C77)</f>
        <v>0</v>
      </c>
      <c r="D131" s="59" t="str">
        <f t="shared" si="5"/>
        <v>   </v>
      </c>
      <c r="E131" s="60">
        <f t="shared" si="6"/>
        <v>0</v>
      </c>
    </row>
    <row r="132" spans="1:5" ht="36.75" customHeight="1">
      <c r="A132" s="120" t="s">
        <v>286</v>
      </c>
      <c r="B132" s="199">
        <f>SUM(B133:B135)</f>
        <v>4094001</v>
      </c>
      <c r="C132" s="199">
        <f>SUM(C133:C135)</f>
        <v>0</v>
      </c>
      <c r="D132" s="59">
        <v>0</v>
      </c>
      <c r="E132" s="60">
        <f>C132-B132</f>
        <v>-4094001</v>
      </c>
    </row>
    <row r="133" spans="1:5" ht="12.75">
      <c r="A133" s="16" t="s">
        <v>290</v>
      </c>
      <c r="B133" s="212">
        <f>Лист1!B115+Лист3!B89+Лист4!B81+Лист5!B80+Лист7!B87+Лист8!B86+Лист9!B90+Лист10!B86</f>
        <v>0</v>
      </c>
      <c r="C133" s="212">
        <f>Лист1!C115+Лист3!C89+Лист4!C81+Лист5!C80+Лист7!C87+Лист8!C86+Лист9!C90+Лист10!C86</f>
        <v>0</v>
      </c>
      <c r="D133" s="59">
        <v>0</v>
      </c>
      <c r="E133" s="60">
        <f>C133-B133</f>
        <v>0</v>
      </c>
    </row>
    <row r="134" spans="1:5" ht="12.75">
      <c r="A134" s="16" t="s">
        <v>292</v>
      </c>
      <c r="B134" s="212">
        <f>Лист1!B116+Лист3!B90+Лист4!B82+Лист5!B81+Лист7!B88+Лист8!B87+Лист9!B91</f>
        <v>3766201</v>
      </c>
      <c r="C134" s="212">
        <f>Лист1!C116+Лист3!C90+Лист4!C82+Лист5!C81+Лист7!C88+Лист8!C87+Лист9!C91</f>
        <v>0</v>
      </c>
      <c r="D134" s="59">
        <v>0</v>
      </c>
      <c r="E134" s="60">
        <f>C134-B134</f>
        <v>-3766201</v>
      </c>
    </row>
    <row r="135" spans="1:5" ht="12.75">
      <c r="A135" s="16" t="s">
        <v>291</v>
      </c>
      <c r="B135" s="212">
        <f>Лист1!B117+Лист3!B91+Лист4!B83+Лист5!B82+Лист7!B89+Лист8!B88+Лист9!B92</f>
        <v>327800</v>
      </c>
      <c r="C135" s="212">
        <f>Лист1!C117+Лист3!C91+Лист4!C83+Лист5!C82+Лист7!C89+Лист8!C88+Лист9!C92</f>
        <v>0</v>
      </c>
      <c r="D135" s="59"/>
      <c r="E135" s="60"/>
    </row>
    <row r="136" spans="1:5" ht="12.75">
      <c r="A136" s="16" t="s">
        <v>266</v>
      </c>
      <c r="B136" s="194">
        <f>SUM(B137,)</f>
        <v>365000</v>
      </c>
      <c r="C136" s="194">
        <f>SUM(C137,)</f>
        <v>138362.62</v>
      </c>
      <c r="D136" s="59">
        <f>IF(B136=0,"   ",C136/B136*100)</f>
        <v>37.90756712328767</v>
      </c>
      <c r="E136" s="60">
        <f>C136-B136</f>
        <v>-226637.38</v>
      </c>
    </row>
    <row r="137" spans="1:5" ht="12.75">
      <c r="A137" s="16" t="s">
        <v>267</v>
      </c>
      <c r="B137" s="194">
        <f>Лист1!B95+Лист2!B64+Лист3!B69+Лист4!B61+Лист5!B67+Лист6!B65+Лист7!B81+Лист8!B70+Лист9!B66+Лист10!B66</f>
        <v>365000</v>
      </c>
      <c r="C137" s="194">
        <f>Лист1!C95+Лист2!C64+Лист3!C69+Лист4!C61+Лист5!C67+Лист6!C65+Лист7!C81+Лист8!C70+Лист9!C66+Лист10!C66</f>
        <v>138362.62</v>
      </c>
      <c r="D137" s="59">
        <f>IF(B137=0,"   ",C137/B137*100)</f>
        <v>37.90756712328767</v>
      </c>
      <c r="E137" s="60">
        <f>C137-B137</f>
        <v>-226637.38</v>
      </c>
    </row>
    <row r="138" spans="1:5" ht="15.75">
      <c r="A138" s="165" t="s">
        <v>19</v>
      </c>
      <c r="B138" s="139">
        <f>B55+B62+B64+B69+B81+B101+B102+B136+B111</f>
        <v>50523701</v>
      </c>
      <c r="C138" s="139">
        <f>SUM(C55,C62,C64,C69,C81,C101,C102,C136,C111,)</f>
        <v>16209437.379999999</v>
      </c>
      <c r="D138" s="140">
        <f t="shared" si="5"/>
        <v>32.082838468227024</v>
      </c>
      <c r="E138" s="141">
        <f t="shared" si="6"/>
        <v>-34314263.620000005</v>
      </c>
    </row>
    <row r="139" spans="1:5" ht="13.5" thickBot="1">
      <c r="A139" s="99" t="s">
        <v>262</v>
      </c>
      <c r="B139" s="213">
        <f>B57+B67+B104</f>
        <v>13640690</v>
      </c>
      <c r="C139" s="213">
        <f>C57+C67+C104</f>
        <v>5744214.540000001</v>
      </c>
      <c r="D139" s="115">
        <f t="shared" si="5"/>
        <v>42.11087958160475</v>
      </c>
      <c r="E139" s="116">
        <f t="shared" si="6"/>
        <v>-7896475.459999999</v>
      </c>
    </row>
    <row r="140" spans="1:5" ht="39" customHeight="1">
      <c r="A140" s="111" t="s">
        <v>317</v>
      </c>
      <c r="B140" s="111"/>
      <c r="C140" s="235"/>
      <c r="D140" s="235"/>
      <c r="E140" s="235"/>
    </row>
    <row r="141" spans="1:5" ht="28.5">
      <c r="A141" s="111" t="s">
        <v>318</v>
      </c>
      <c r="B141" s="111"/>
      <c r="C141" s="112" t="s">
        <v>319</v>
      </c>
      <c r="D141" s="113"/>
      <c r="E141" s="114"/>
    </row>
    <row r="142" spans="1:5" ht="12.75">
      <c r="A142" s="7"/>
      <c r="B142" s="7"/>
      <c r="C142" s="62"/>
      <c r="D142" s="7"/>
      <c r="E142" s="63"/>
    </row>
    <row r="143" spans="1:5" ht="12.75">
      <c r="A143" s="7"/>
      <c r="B143" s="7"/>
      <c r="C143" s="62"/>
      <c r="D143" s="7"/>
      <c r="E143" s="63"/>
    </row>
    <row r="144" spans="1:5" ht="12.75">
      <c r="A144" s="7"/>
      <c r="B144" s="7"/>
      <c r="C144" s="62"/>
      <c r="D144" s="7"/>
      <c r="E144" s="63"/>
    </row>
    <row r="145" spans="1:5" ht="12.75">
      <c r="A145" s="7"/>
      <c r="B145" s="7"/>
      <c r="C145" s="62"/>
      <c r="D145" s="7"/>
      <c r="E145" s="63"/>
    </row>
  </sheetData>
  <mergeCells count="2">
    <mergeCell ref="A1:E1"/>
    <mergeCell ref="C140:E140"/>
  </mergeCells>
  <printOptions/>
  <pageMargins left="0.7874015748031497" right="0.7874015748031497" top="0.4724409448818898" bottom="0.3149606299212598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="75" zoomScaleNormal="75" workbookViewId="0" topLeftCell="A42">
      <selection activeCell="C45" sqref="C45"/>
    </sheetView>
  </sheetViews>
  <sheetFormatPr defaultColWidth="9.00390625" defaultRowHeight="12.75"/>
  <cols>
    <col min="1" max="1" width="80.875" style="0" customWidth="1"/>
    <col min="2" max="2" width="16.875" style="0" customWidth="1"/>
    <col min="3" max="3" width="19.875" style="0" customWidth="1"/>
    <col min="4" max="4" width="17.875" style="0" customWidth="1"/>
    <col min="5" max="5" width="19.375" style="0" customWidth="1"/>
  </cols>
  <sheetData>
    <row r="1" spans="1:5" ht="18">
      <c r="A1" s="237" t="s">
        <v>312</v>
      </c>
      <c r="B1" s="237"/>
      <c r="C1" s="237"/>
      <c r="D1" s="237"/>
      <c r="E1" s="237"/>
    </row>
    <row r="2" spans="1:5" ht="13.5" thickBot="1">
      <c r="A2" s="4"/>
      <c r="B2" s="4"/>
      <c r="C2" s="5"/>
      <c r="D2" s="4"/>
      <c r="E2" s="4" t="s">
        <v>0</v>
      </c>
    </row>
    <row r="3" spans="1:5" ht="63">
      <c r="A3" s="35" t="s">
        <v>1</v>
      </c>
      <c r="B3" s="19" t="s">
        <v>240</v>
      </c>
      <c r="C3" s="32" t="s">
        <v>303</v>
      </c>
      <c r="D3" s="19" t="s">
        <v>241</v>
      </c>
      <c r="E3" s="19" t="s">
        <v>242</v>
      </c>
    </row>
    <row r="4" spans="1:5" ht="12.75">
      <c r="A4" s="13">
        <v>1</v>
      </c>
      <c r="B4" s="98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58</v>
      </c>
      <c r="B6" s="192">
        <f>SUM(B7)</f>
        <v>36900</v>
      </c>
      <c r="C6" s="192">
        <f>SUM(C7)</f>
        <v>8537.22</v>
      </c>
      <c r="D6" s="26">
        <f aca="true" t="shared" si="0" ref="D6:D69">IF(B6=0,"   ",C6/B6*100)</f>
        <v>23.136097560975607</v>
      </c>
      <c r="E6" s="50">
        <f aca="true" t="shared" si="1" ref="E6:E69">C6-B6</f>
        <v>-28362.78</v>
      </c>
    </row>
    <row r="7" spans="1:5" ht="12.75" customHeight="1">
      <c r="A7" s="16" t="s">
        <v>57</v>
      </c>
      <c r="B7" s="25">
        <v>36900</v>
      </c>
      <c r="C7" s="27">
        <v>8537.22</v>
      </c>
      <c r="D7" s="26">
        <f t="shared" si="0"/>
        <v>23.136097560975607</v>
      </c>
      <c r="E7" s="50">
        <f t="shared" si="1"/>
        <v>-28362.78</v>
      </c>
    </row>
    <row r="8" spans="1:5" ht="16.5" customHeight="1">
      <c r="A8" s="16" t="s">
        <v>7</v>
      </c>
      <c r="B8" s="194">
        <f>SUM(B9:B9)</f>
        <v>16000</v>
      </c>
      <c r="C8" s="194">
        <f>SUM(C9:C9)</f>
        <v>4580.56</v>
      </c>
      <c r="D8" s="26">
        <f t="shared" si="0"/>
        <v>28.628500000000003</v>
      </c>
      <c r="E8" s="50">
        <f t="shared" si="1"/>
        <v>-11419.439999999999</v>
      </c>
    </row>
    <row r="9" spans="1:5" ht="14.25" customHeight="1">
      <c r="A9" s="16" t="s">
        <v>38</v>
      </c>
      <c r="B9" s="25">
        <v>16000</v>
      </c>
      <c r="C9" s="27">
        <v>4580.56</v>
      </c>
      <c r="D9" s="26">
        <f t="shared" si="0"/>
        <v>28.628500000000003</v>
      </c>
      <c r="E9" s="50">
        <f t="shared" si="1"/>
        <v>-11419.439999999999</v>
      </c>
    </row>
    <row r="10" spans="1:5" ht="14.25" customHeight="1">
      <c r="A10" s="16" t="s">
        <v>9</v>
      </c>
      <c r="B10" s="194">
        <f>SUM(B11:B12)</f>
        <v>189300</v>
      </c>
      <c r="C10" s="194">
        <f>SUM(C11:C12)</f>
        <v>89178.5</v>
      </c>
      <c r="D10" s="26">
        <f t="shared" si="0"/>
        <v>47.10961436872689</v>
      </c>
      <c r="E10" s="50">
        <f t="shared" si="1"/>
        <v>-100121.5</v>
      </c>
    </row>
    <row r="11" spans="1:5" ht="12.75" customHeight="1">
      <c r="A11" s="16" t="s">
        <v>39</v>
      </c>
      <c r="B11" s="25">
        <v>77500</v>
      </c>
      <c r="C11" s="27">
        <v>7758.94</v>
      </c>
      <c r="D11" s="26">
        <f t="shared" si="0"/>
        <v>10.011535483870967</v>
      </c>
      <c r="E11" s="50">
        <f t="shared" si="1"/>
        <v>-69741.06</v>
      </c>
    </row>
    <row r="12" spans="1:5" ht="12.75">
      <c r="A12" s="16" t="s">
        <v>10</v>
      </c>
      <c r="B12" s="25">
        <v>111800</v>
      </c>
      <c r="C12" s="27">
        <v>81419.56</v>
      </c>
      <c r="D12" s="26">
        <f t="shared" si="0"/>
        <v>72.82608228980322</v>
      </c>
      <c r="E12" s="50">
        <f t="shared" si="1"/>
        <v>-30380.440000000002</v>
      </c>
    </row>
    <row r="13" spans="1:5" ht="25.5">
      <c r="A13" s="16" t="s">
        <v>148</v>
      </c>
      <c r="B13" s="25">
        <v>0</v>
      </c>
      <c r="C13" s="27">
        <v>762.16</v>
      </c>
      <c r="D13" s="26" t="str">
        <f t="shared" si="0"/>
        <v>   </v>
      </c>
      <c r="E13" s="50">
        <f t="shared" si="1"/>
        <v>762.16</v>
      </c>
    </row>
    <row r="14" spans="1:5" ht="16.5" customHeight="1">
      <c r="A14" s="16" t="s">
        <v>109</v>
      </c>
      <c r="B14" s="192">
        <f>B15</f>
        <v>0</v>
      </c>
      <c r="C14" s="192">
        <f>C15</f>
        <v>0</v>
      </c>
      <c r="D14" s="26" t="str">
        <f t="shared" si="0"/>
        <v>   </v>
      </c>
      <c r="E14" s="50">
        <f t="shared" si="1"/>
        <v>0</v>
      </c>
    </row>
    <row r="15" spans="1:5" ht="22.5" customHeight="1">
      <c r="A15" s="16" t="s">
        <v>110</v>
      </c>
      <c r="B15" s="25">
        <v>0</v>
      </c>
      <c r="C15" s="27">
        <v>0</v>
      </c>
      <c r="D15" s="26" t="str">
        <f t="shared" si="0"/>
        <v>   </v>
      </c>
      <c r="E15" s="50">
        <f t="shared" si="1"/>
        <v>0</v>
      </c>
    </row>
    <row r="16" spans="1:5" ht="29.25" customHeight="1">
      <c r="A16" s="16" t="s">
        <v>40</v>
      </c>
      <c r="B16" s="194">
        <f>SUM(B17:B18)</f>
        <v>60000</v>
      </c>
      <c r="C16" s="192">
        <f>SUM(C17:C18)</f>
        <v>27917.53</v>
      </c>
      <c r="D16" s="26">
        <f t="shared" si="0"/>
        <v>46.52921666666667</v>
      </c>
      <c r="E16" s="50">
        <f t="shared" si="1"/>
        <v>-32082.47</v>
      </c>
    </row>
    <row r="17" spans="1:5" ht="15.75" customHeight="1">
      <c r="A17" s="16" t="s">
        <v>41</v>
      </c>
      <c r="B17" s="25">
        <v>60000</v>
      </c>
      <c r="C17" s="27">
        <v>25739.53</v>
      </c>
      <c r="D17" s="26">
        <f t="shared" si="0"/>
        <v>42.89921666666667</v>
      </c>
      <c r="E17" s="50">
        <f t="shared" si="1"/>
        <v>-34260.47</v>
      </c>
    </row>
    <row r="18" spans="1:5" ht="30" customHeight="1">
      <c r="A18" s="16" t="s">
        <v>42</v>
      </c>
      <c r="B18" s="25">
        <v>0</v>
      </c>
      <c r="C18" s="27">
        <v>2178</v>
      </c>
      <c r="D18" s="26" t="str">
        <f t="shared" si="0"/>
        <v>   </v>
      </c>
      <c r="E18" s="50">
        <f t="shared" si="1"/>
        <v>2178</v>
      </c>
    </row>
    <row r="19" spans="1:5" ht="24" customHeight="1">
      <c r="A19" s="43" t="s">
        <v>153</v>
      </c>
      <c r="B19" s="25">
        <v>0</v>
      </c>
      <c r="C19" s="27">
        <v>0</v>
      </c>
      <c r="D19" s="26" t="str">
        <f t="shared" si="0"/>
        <v>   </v>
      </c>
      <c r="E19" s="50">
        <f t="shared" si="1"/>
        <v>0</v>
      </c>
    </row>
    <row r="20" spans="1:5" ht="16.5" customHeight="1">
      <c r="A20" s="16" t="s">
        <v>44</v>
      </c>
      <c r="B20" s="194">
        <f>SUM(B21:B22)</f>
        <v>0</v>
      </c>
      <c r="C20" s="194">
        <f>SUM(C21:C22)</f>
        <v>0</v>
      </c>
      <c r="D20" s="26" t="str">
        <f t="shared" si="0"/>
        <v>   </v>
      </c>
      <c r="E20" s="50">
        <f t="shared" si="1"/>
        <v>0</v>
      </c>
    </row>
    <row r="21" spans="1:5" ht="15.75" customHeight="1">
      <c r="A21" s="16" t="s">
        <v>209</v>
      </c>
      <c r="B21" s="25">
        <v>0</v>
      </c>
      <c r="C21" s="25">
        <v>0</v>
      </c>
      <c r="D21" s="26" t="str">
        <f t="shared" si="0"/>
        <v>   </v>
      </c>
      <c r="E21" s="50">
        <f t="shared" si="1"/>
        <v>0</v>
      </c>
    </row>
    <row r="22" spans="1:5" s="9" customFormat="1" ht="15" customHeight="1">
      <c r="A22" s="16" t="s">
        <v>210</v>
      </c>
      <c r="B22" s="40">
        <v>0</v>
      </c>
      <c r="C22" s="41">
        <v>0</v>
      </c>
      <c r="D22" s="42" t="str">
        <f>IF(B22=0,"   ",C22/B22*100)</f>
        <v>   </v>
      </c>
      <c r="E22" s="44">
        <f>C22-B22</f>
        <v>0</v>
      </c>
    </row>
    <row r="23" spans="1:5" ht="19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50">
        <f t="shared" si="1"/>
        <v>0</v>
      </c>
    </row>
    <row r="24" spans="1:5" ht="19.5" customHeight="1">
      <c r="A24" s="165" t="s">
        <v>11</v>
      </c>
      <c r="B24" s="166">
        <f>SUM(B6,B8,B10,B13,B14,B16,B23,B19,B20)</f>
        <v>302200</v>
      </c>
      <c r="C24" s="166">
        <f>SUM(C6,C8,C10,C13,C14,C16,C23,C19,C20)</f>
        <v>130975.97</v>
      </c>
      <c r="D24" s="167">
        <f t="shared" si="0"/>
        <v>43.34082395764394</v>
      </c>
      <c r="E24" s="168">
        <f t="shared" si="1"/>
        <v>-171224.03</v>
      </c>
    </row>
    <row r="25" spans="1:5" ht="16.5" customHeight="1">
      <c r="A25" s="17" t="s">
        <v>46</v>
      </c>
      <c r="B25" s="24">
        <v>1084000</v>
      </c>
      <c r="C25" s="24">
        <v>518100</v>
      </c>
      <c r="D25" s="26">
        <f t="shared" si="0"/>
        <v>47.79520295202952</v>
      </c>
      <c r="E25" s="50">
        <f t="shared" si="1"/>
        <v>-565900</v>
      </c>
    </row>
    <row r="26" spans="1:5" ht="27.75" customHeight="1">
      <c r="A26" s="16" t="s">
        <v>65</v>
      </c>
      <c r="B26" s="25">
        <v>385000</v>
      </c>
      <c r="C26" s="27">
        <v>24000</v>
      </c>
      <c r="D26" s="26">
        <f t="shared" si="0"/>
        <v>6.233766233766234</v>
      </c>
      <c r="E26" s="50">
        <f t="shared" si="1"/>
        <v>-361000</v>
      </c>
    </row>
    <row r="27" spans="1:5" ht="39.75" customHeight="1">
      <c r="A27" s="201" t="s">
        <v>69</v>
      </c>
      <c r="B27" s="202">
        <v>45900</v>
      </c>
      <c r="C27" s="202">
        <v>45900</v>
      </c>
      <c r="D27" s="203">
        <f t="shared" si="0"/>
        <v>100</v>
      </c>
      <c r="E27" s="204">
        <f t="shared" si="1"/>
        <v>0</v>
      </c>
    </row>
    <row r="28" spans="1:5" ht="24.75" customHeight="1">
      <c r="A28" s="205" t="s">
        <v>164</v>
      </c>
      <c r="B28" s="202">
        <v>100</v>
      </c>
      <c r="C28" s="206">
        <v>100</v>
      </c>
      <c r="D28" s="203">
        <f t="shared" si="0"/>
        <v>100</v>
      </c>
      <c r="E28" s="204">
        <f t="shared" si="1"/>
        <v>0</v>
      </c>
    </row>
    <row r="29" spans="1:5" ht="24.75" customHeight="1">
      <c r="A29" s="43" t="s">
        <v>139</v>
      </c>
      <c r="B29" s="25">
        <v>0</v>
      </c>
      <c r="C29" s="27">
        <v>0</v>
      </c>
      <c r="D29" s="26" t="str">
        <f t="shared" si="0"/>
        <v>   </v>
      </c>
      <c r="E29" s="50">
        <f t="shared" si="1"/>
        <v>0</v>
      </c>
    </row>
    <row r="30" spans="1:5" ht="39.75" customHeight="1">
      <c r="A30" s="201" t="s">
        <v>174</v>
      </c>
      <c r="B30" s="202">
        <v>7500</v>
      </c>
      <c r="C30" s="202">
        <v>7500</v>
      </c>
      <c r="D30" s="203">
        <f t="shared" si="0"/>
        <v>100</v>
      </c>
      <c r="E30" s="204">
        <f t="shared" si="1"/>
        <v>0</v>
      </c>
    </row>
    <row r="31" spans="1:5" ht="16.5" customHeight="1">
      <c r="A31" s="16" t="s">
        <v>111</v>
      </c>
      <c r="B31" s="194">
        <f>B32</f>
        <v>152000</v>
      </c>
      <c r="C31" s="194">
        <f>C32</f>
        <v>19958</v>
      </c>
      <c r="D31" s="26">
        <f t="shared" si="0"/>
        <v>13.130263157894737</v>
      </c>
      <c r="E31" s="50">
        <f t="shared" si="1"/>
        <v>-132042</v>
      </c>
    </row>
    <row r="32" spans="1:5" s="7" customFormat="1" ht="14.25" customHeight="1">
      <c r="A32" s="64" t="s">
        <v>211</v>
      </c>
      <c r="B32" s="65">
        <v>152000</v>
      </c>
      <c r="C32" s="65">
        <v>19958</v>
      </c>
      <c r="D32" s="65">
        <f t="shared" si="0"/>
        <v>13.130263157894737</v>
      </c>
      <c r="E32" s="44">
        <f t="shared" si="1"/>
        <v>-132042</v>
      </c>
    </row>
    <row r="33" spans="1:5" ht="27.75" customHeight="1">
      <c r="A33" s="16" t="s">
        <v>47</v>
      </c>
      <c r="B33" s="25">
        <v>0</v>
      </c>
      <c r="C33" s="27">
        <v>0</v>
      </c>
      <c r="D33" s="65" t="str">
        <f t="shared" si="0"/>
        <v>   </v>
      </c>
      <c r="E33" s="50">
        <f t="shared" si="1"/>
        <v>0</v>
      </c>
    </row>
    <row r="34" spans="1:5" ht="21.75" customHeight="1">
      <c r="A34" s="165" t="s">
        <v>14</v>
      </c>
      <c r="B34" s="169">
        <f>SUM(B24,B25,B26:B31,B33)</f>
        <v>1976700</v>
      </c>
      <c r="C34" s="169">
        <f>SUM(C24,C25,C26:C31,C33)</f>
        <v>746533.97</v>
      </c>
      <c r="D34" s="167">
        <f t="shared" si="0"/>
        <v>37.76668032579551</v>
      </c>
      <c r="E34" s="168">
        <f t="shared" si="1"/>
        <v>-1230166.03</v>
      </c>
    </row>
    <row r="35" spans="1:5" ht="12.75">
      <c r="A35" s="30" t="s">
        <v>66</v>
      </c>
      <c r="B35" s="24"/>
      <c r="C35" s="25"/>
      <c r="D35" s="26" t="str">
        <f t="shared" si="0"/>
        <v>   </v>
      </c>
      <c r="E35" s="50">
        <f t="shared" si="1"/>
        <v>0</v>
      </c>
    </row>
    <row r="36" spans="1:5" ht="13.5" thickBot="1">
      <c r="A36" s="156" t="s">
        <v>15</v>
      </c>
      <c r="B36" s="157"/>
      <c r="C36" s="158"/>
      <c r="D36" s="170" t="str">
        <f t="shared" si="0"/>
        <v>   </v>
      </c>
      <c r="E36" s="171">
        <f t="shared" si="1"/>
        <v>0</v>
      </c>
    </row>
    <row r="37" spans="1:5" ht="13.5" thickBot="1">
      <c r="A37" s="187" t="s">
        <v>48</v>
      </c>
      <c r="B37" s="188">
        <v>758300</v>
      </c>
      <c r="C37" s="188">
        <v>332005</v>
      </c>
      <c r="D37" s="189">
        <f t="shared" si="0"/>
        <v>43.78280363972043</v>
      </c>
      <c r="E37" s="190">
        <f t="shared" si="1"/>
        <v>-426295</v>
      </c>
    </row>
    <row r="38" spans="1:5" ht="12.75">
      <c r="A38" s="175" t="s">
        <v>49</v>
      </c>
      <c r="B38" s="176">
        <v>757800</v>
      </c>
      <c r="C38" s="176">
        <v>332005</v>
      </c>
      <c r="D38" s="177">
        <f t="shared" si="0"/>
        <v>43.811691739245184</v>
      </c>
      <c r="E38" s="178">
        <f t="shared" si="1"/>
        <v>-425795</v>
      </c>
    </row>
    <row r="39" spans="1:5" ht="12.75">
      <c r="A39" s="119" t="s">
        <v>258</v>
      </c>
      <c r="B39" s="25">
        <v>476900</v>
      </c>
      <c r="C39" s="28">
        <v>205633.08</v>
      </c>
      <c r="D39" s="26">
        <f t="shared" si="0"/>
        <v>43.11869993709373</v>
      </c>
      <c r="E39" s="50">
        <f t="shared" si="1"/>
        <v>-271266.92000000004</v>
      </c>
    </row>
    <row r="40" spans="1:5" ht="12.75">
      <c r="A40" s="16" t="s">
        <v>212</v>
      </c>
      <c r="B40" s="25">
        <v>100</v>
      </c>
      <c r="C40" s="28">
        <v>0</v>
      </c>
      <c r="D40" s="26">
        <f t="shared" si="0"/>
        <v>0</v>
      </c>
      <c r="E40" s="50">
        <f t="shared" si="1"/>
        <v>-100</v>
      </c>
    </row>
    <row r="41" spans="1:5" ht="12.75">
      <c r="A41" s="16" t="s">
        <v>166</v>
      </c>
      <c r="B41" s="25">
        <v>500</v>
      </c>
      <c r="C41" s="28">
        <v>0</v>
      </c>
      <c r="D41" s="26">
        <f t="shared" si="0"/>
        <v>0</v>
      </c>
      <c r="E41" s="50">
        <f t="shared" si="1"/>
        <v>-500</v>
      </c>
    </row>
    <row r="42" spans="1:5" ht="13.5" thickBot="1">
      <c r="A42" s="155" t="s">
        <v>72</v>
      </c>
      <c r="B42" s="172">
        <v>0</v>
      </c>
      <c r="C42" s="173">
        <v>0</v>
      </c>
      <c r="D42" s="170" t="str">
        <f t="shared" si="0"/>
        <v>   </v>
      </c>
      <c r="E42" s="171">
        <f t="shared" si="1"/>
        <v>0</v>
      </c>
    </row>
    <row r="43" spans="1:5" ht="13.5" thickBot="1">
      <c r="A43" s="187" t="s">
        <v>67</v>
      </c>
      <c r="B43" s="196">
        <f>SUM(B44)</f>
        <v>45900</v>
      </c>
      <c r="C43" s="196">
        <f>SUM(C44)</f>
        <v>14049.45</v>
      </c>
      <c r="D43" s="189">
        <f t="shared" si="0"/>
        <v>30.608823529411765</v>
      </c>
      <c r="E43" s="190">
        <f t="shared" si="1"/>
        <v>-31850.55</v>
      </c>
    </row>
    <row r="44" spans="1:5" ht="24.75" thickBot="1">
      <c r="A44" s="179" t="s">
        <v>207</v>
      </c>
      <c r="B44" s="180">
        <v>45900</v>
      </c>
      <c r="C44" s="181">
        <v>14049.45</v>
      </c>
      <c r="D44" s="182">
        <f t="shared" si="0"/>
        <v>30.608823529411765</v>
      </c>
      <c r="E44" s="183">
        <f t="shared" si="1"/>
        <v>-31850.55</v>
      </c>
    </row>
    <row r="45" spans="1:5" ht="13.5" thickBot="1">
      <c r="A45" s="187" t="s">
        <v>50</v>
      </c>
      <c r="B45" s="197">
        <f>SUM(B46)</f>
        <v>400</v>
      </c>
      <c r="C45" s="196">
        <f>SUM(C46)</f>
        <v>0</v>
      </c>
      <c r="D45" s="189">
        <f t="shared" si="0"/>
        <v>0</v>
      </c>
      <c r="E45" s="190">
        <f t="shared" si="1"/>
        <v>-400</v>
      </c>
    </row>
    <row r="46" spans="1:5" ht="26.25" thickBot="1">
      <c r="A46" s="104" t="s">
        <v>151</v>
      </c>
      <c r="B46" s="180">
        <v>400</v>
      </c>
      <c r="C46" s="181">
        <v>0</v>
      </c>
      <c r="D46" s="182">
        <f t="shared" si="0"/>
        <v>0</v>
      </c>
      <c r="E46" s="183">
        <f t="shared" si="1"/>
        <v>-400</v>
      </c>
    </row>
    <row r="47" spans="1:5" ht="13.5" thickBot="1">
      <c r="A47" s="187" t="s">
        <v>51</v>
      </c>
      <c r="B47" s="197">
        <f>SUM(B49)</f>
        <v>0</v>
      </c>
      <c r="C47" s="197">
        <f>SUM(C49)</f>
        <v>0</v>
      </c>
      <c r="D47" s="189" t="str">
        <f t="shared" si="0"/>
        <v>   </v>
      </c>
      <c r="E47" s="190">
        <f t="shared" si="1"/>
        <v>0</v>
      </c>
    </row>
    <row r="48" spans="1:5" ht="12.75">
      <c r="A48" s="175" t="s">
        <v>63</v>
      </c>
      <c r="B48" s="176">
        <v>0</v>
      </c>
      <c r="C48" s="176">
        <v>0</v>
      </c>
      <c r="D48" s="177" t="str">
        <f t="shared" si="0"/>
        <v>   </v>
      </c>
      <c r="E48" s="178">
        <f t="shared" si="1"/>
        <v>0</v>
      </c>
    </row>
    <row r="49" spans="1:5" ht="13.5" thickBot="1">
      <c r="A49" s="155" t="s">
        <v>73</v>
      </c>
      <c r="B49" s="172">
        <v>0</v>
      </c>
      <c r="C49" s="172">
        <v>0</v>
      </c>
      <c r="D49" s="170" t="str">
        <f t="shared" si="0"/>
        <v>   </v>
      </c>
      <c r="E49" s="171">
        <f t="shared" si="1"/>
        <v>0</v>
      </c>
    </row>
    <row r="50" spans="1:5" ht="13.5" customHeight="1" thickBot="1">
      <c r="A50" s="187" t="s">
        <v>16</v>
      </c>
      <c r="B50" s="197">
        <f>SUM(B53,B51)</f>
        <v>312000</v>
      </c>
      <c r="C50" s="197">
        <f>SUM(C53,C51)</f>
        <v>92938.9</v>
      </c>
      <c r="D50" s="189">
        <f t="shared" si="0"/>
        <v>29.788108974358973</v>
      </c>
      <c r="E50" s="190">
        <f t="shared" si="1"/>
        <v>-219061.1</v>
      </c>
    </row>
    <row r="51" spans="1:5" ht="13.5" customHeight="1">
      <c r="A51" s="175" t="s">
        <v>143</v>
      </c>
      <c r="B51" s="200">
        <f>SUM(B52)</f>
        <v>0</v>
      </c>
      <c r="C51" s="200">
        <f>SUM(C52)</f>
        <v>0</v>
      </c>
      <c r="D51" s="177" t="str">
        <f t="shared" si="0"/>
        <v>   </v>
      </c>
      <c r="E51" s="178">
        <f t="shared" si="1"/>
        <v>0</v>
      </c>
    </row>
    <row r="52" spans="1:5" ht="14.25" customHeight="1">
      <c r="A52" s="16" t="s">
        <v>144</v>
      </c>
      <c r="B52" s="25">
        <v>0</v>
      </c>
      <c r="C52" s="25">
        <v>0</v>
      </c>
      <c r="D52" s="26" t="str">
        <f t="shared" si="0"/>
        <v>   </v>
      </c>
      <c r="E52" s="50">
        <f t="shared" si="1"/>
        <v>0</v>
      </c>
    </row>
    <row r="53" spans="1:5" ht="12.75">
      <c r="A53" s="16" t="s">
        <v>84</v>
      </c>
      <c r="B53" s="25">
        <v>312000</v>
      </c>
      <c r="C53" s="25">
        <v>92938.9</v>
      </c>
      <c r="D53" s="26">
        <f t="shared" si="0"/>
        <v>29.788108974358973</v>
      </c>
      <c r="E53" s="50">
        <f t="shared" si="1"/>
        <v>-219061.1</v>
      </c>
    </row>
    <row r="54" spans="1:5" ht="12.75">
      <c r="A54" s="16" t="s">
        <v>82</v>
      </c>
      <c r="B54" s="25">
        <v>60000</v>
      </c>
      <c r="C54" s="27">
        <v>53022.9</v>
      </c>
      <c r="D54" s="26">
        <f t="shared" si="0"/>
        <v>88.3715</v>
      </c>
      <c r="E54" s="50">
        <f t="shared" si="1"/>
        <v>-6977.0999999999985</v>
      </c>
    </row>
    <row r="55" spans="1:5" ht="12.75">
      <c r="A55" s="16" t="s">
        <v>128</v>
      </c>
      <c r="B55" s="25">
        <v>152000</v>
      </c>
      <c r="C55" s="27">
        <v>4916</v>
      </c>
      <c r="D55" s="26">
        <f t="shared" si="0"/>
        <v>3.234210526315789</v>
      </c>
      <c r="E55" s="50">
        <f t="shared" si="1"/>
        <v>-147084</v>
      </c>
    </row>
    <row r="56" spans="1:5" ht="12.75">
      <c r="A56" s="16" t="s">
        <v>129</v>
      </c>
      <c r="B56" s="25">
        <v>100000</v>
      </c>
      <c r="C56" s="27">
        <v>35000</v>
      </c>
      <c r="D56" s="26">
        <f t="shared" si="0"/>
        <v>35</v>
      </c>
      <c r="E56" s="50">
        <f t="shared" si="1"/>
        <v>-65000</v>
      </c>
    </row>
    <row r="57" spans="1:5" ht="13.5" thickBot="1">
      <c r="A57" s="155" t="s">
        <v>85</v>
      </c>
      <c r="B57" s="172">
        <v>0</v>
      </c>
      <c r="C57" s="173">
        <v>0</v>
      </c>
      <c r="D57" s="170" t="str">
        <f t="shared" si="0"/>
        <v>   </v>
      </c>
      <c r="E57" s="171">
        <f t="shared" si="1"/>
        <v>0</v>
      </c>
    </row>
    <row r="58" spans="1:5" ht="15.75" thickBot="1">
      <c r="A58" s="191" t="s">
        <v>24</v>
      </c>
      <c r="B58" s="149">
        <v>10000</v>
      </c>
      <c r="C58" s="149">
        <v>550</v>
      </c>
      <c r="D58" s="189">
        <f t="shared" si="0"/>
        <v>5.5</v>
      </c>
      <c r="E58" s="190">
        <f t="shared" si="1"/>
        <v>-9450</v>
      </c>
    </row>
    <row r="59" spans="1:5" ht="13.5" thickBot="1">
      <c r="A59" s="187" t="s">
        <v>54</v>
      </c>
      <c r="B59" s="198">
        <f>B60</f>
        <v>768700</v>
      </c>
      <c r="C59" s="198">
        <f>C60</f>
        <v>321638.91</v>
      </c>
      <c r="D59" s="189">
        <f t="shared" si="0"/>
        <v>41.84192923116951</v>
      </c>
      <c r="E59" s="190">
        <f t="shared" si="1"/>
        <v>-447061.09</v>
      </c>
    </row>
    <row r="60" spans="1:5" ht="12.75">
      <c r="A60" s="175" t="s">
        <v>55</v>
      </c>
      <c r="B60" s="176">
        <v>768700</v>
      </c>
      <c r="C60" s="184">
        <v>321638.91</v>
      </c>
      <c r="D60" s="177">
        <f t="shared" si="0"/>
        <v>41.84192923116951</v>
      </c>
      <c r="E60" s="178">
        <f t="shared" si="1"/>
        <v>-447061.09</v>
      </c>
    </row>
    <row r="61" spans="1:5" ht="12.75">
      <c r="A61" s="119" t="s">
        <v>259</v>
      </c>
      <c r="B61" s="25">
        <v>479800</v>
      </c>
      <c r="C61" s="27">
        <v>172909.32</v>
      </c>
      <c r="D61" s="26">
        <f t="shared" si="0"/>
        <v>36.037790746144225</v>
      </c>
      <c r="E61" s="50">
        <f t="shared" si="1"/>
        <v>-306890.68</v>
      </c>
    </row>
    <row r="62" spans="1:5" ht="14.25" customHeight="1" thickBot="1">
      <c r="A62" s="155" t="s">
        <v>208</v>
      </c>
      <c r="B62" s="172">
        <v>7500</v>
      </c>
      <c r="C62" s="173">
        <v>0</v>
      </c>
      <c r="D62" s="170">
        <f t="shared" si="0"/>
        <v>0</v>
      </c>
      <c r="E62" s="171">
        <f t="shared" si="1"/>
        <v>-7500</v>
      </c>
    </row>
    <row r="63" spans="1:5" ht="13.5" thickBot="1">
      <c r="A63" s="187" t="s">
        <v>266</v>
      </c>
      <c r="B63" s="197">
        <f>SUM(B64,)</f>
        <v>60000</v>
      </c>
      <c r="C63" s="197">
        <f>SUM(C64,)</f>
        <v>0</v>
      </c>
      <c r="D63" s="189">
        <f t="shared" si="0"/>
        <v>0</v>
      </c>
      <c r="E63" s="190">
        <f t="shared" si="1"/>
        <v>-60000</v>
      </c>
    </row>
    <row r="64" spans="1:5" ht="13.5" thickBot="1">
      <c r="A64" s="185" t="s">
        <v>56</v>
      </c>
      <c r="B64" s="180">
        <v>60000</v>
      </c>
      <c r="C64" s="186">
        <v>0</v>
      </c>
      <c r="D64" s="182">
        <f t="shared" si="0"/>
        <v>0</v>
      </c>
      <c r="E64" s="183">
        <f t="shared" si="1"/>
        <v>-60000</v>
      </c>
    </row>
    <row r="65" spans="1:5" ht="13.5" thickBot="1">
      <c r="A65" s="187" t="s">
        <v>18</v>
      </c>
      <c r="B65" s="197">
        <f>B66</f>
        <v>69700</v>
      </c>
      <c r="C65" s="197">
        <f>C66</f>
        <v>0</v>
      </c>
      <c r="D65" s="189">
        <f t="shared" si="0"/>
        <v>0</v>
      </c>
      <c r="E65" s="190">
        <f t="shared" si="1"/>
        <v>-69700</v>
      </c>
    </row>
    <row r="66" spans="1:5" ht="12.75">
      <c r="A66" s="175" t="s">
        <v>276</v>
      </c>
      <c r="B66" s="200">
        <f>SUM(B67)</f>
        <v>69700</v>
      </c>
      <c r="C66" s="200">
        <f>SUM(C67)</f>
        <v>0</v>
      </c>
      <c r="D66" s="177">
        <f t="shared" si="0"/>
        <v>0</v>
      </c>
      <c r="E66" s="178">
        <f t="shared" si="1"/>
        <v>-69700</v>
      </c>
    </row>
    <row r="67" spans="1:5" ht="12.75">
      <c r="A67" s="159" t="s">
        <v>274</v>
      </c>
      <c r="B67" s="199">
        <f>SUM(B68)</f>
        <v>69700</v>
      </c>
      <c r="C67" s="199">
        <f>SUM(C68)</f>
        <v>0</v>
      </c>
      <c r="D67" s="26">
        <f t="shared" si="0"/>
        <v>0</v>
      </c>
      <c r="E67" s="50">
        <f t="shared" si="1"/>
        <v>-69700</v>
      </c>
    </row>
    <row r="68" spans="1:5" ht="25.5" customHeight="1">
      <c r="A68" s="16" t="s">
        <v>295</v>
      </c>
      <c r="B68" s="194">
        <f>SUM(B69:B71)</f>
        <v>69700</v>
      </c>
      <c r="C68" s="194">
        <f>SUM(C69:C71)</f>
        <v>0</v>
      </c>
      <c r="D68" s="26">
        <f t="shared" si="0"/>
        <v>0</v>
      </c>
      <c r="E68" s="50">
        <f t="shared" si="1"/>
        <v>-69700</v>
      </c>
    </row>
    <row r="69" spans="1:5" ht="15.75" customHeight="1">
      <c r="A69" s="48" t="s">
        <v>287</v>
      </c>
      <c r="B69" s="25">
        <v>0</v>
      </c>
      <c r="C69" s="27"/>
      <c r="D69" s="26" t="str">
        <f t="shared" si="0"/>
        <v>   </v>
      </c>
      <c r="E69" s="50">
        <f t="shared" si="1"/>
        <v>0</v>
      </c>
    </row>
    <row r="70" spans="1:5" ht="14.25" customHeight="1">
      <c r="A70" s="48" t="s">
        <v>288</v>
      </c>
      <c r="B70">
        <v>0</v>
      </c>
      <c r="C70" s="27"/>
      <c r="D70" s="26" t="str">
        <f>IF(B70=0,"   ",C70/B70*100)</f>
        <v>   </v>
      </c>
      <c r="E70" s="50">
        <f>C70-B70</f>
        <v>0</v>
      </c>
    </row>
    <row r="71" spans="1:5" ht="12.75" customHeight="1">
      <c r="A71" s="48" t="s">
        <v>289</v>
      </c>
      <c r="B71" s="117">
        <v>69700</v>
      </c>
      <c r="C71" s="27"/>
      <c r="D71" s="26">
        <f>IF(B71=0,"   ",C71/B71*100)</f>
        <v>0</v>
      </c>
      <c r="E71" s="50">
        <f>C71-B71</f>
        <v>-69700</v>
      </c>
    </row>
    <row r="72" spans="1:5" ht="18" customHeight="1">
      <c r="A72" s="165" t="s">
        <v>19</v>
      </c>
      <c r="B72" s="169">
        <f>SUM(B37,B43,B45,B47,B50,B58,B59,B63,B65,)</f>
        <v>2025000</v>
      </c>
      <c r="C72" s="169">
        <f>SUM(C37,C43,C45,C47,C50,C58,C59,C63,C65,)</f>
        <v>761182.26</v>
      </c>
      <c r="D72" s="167">
        <f>IF(B72=0,"   ",C72/B72*100)</f>
        <v>37.589247407407406</v>
      </c>
      <c r="E72" s="168">
        <f>C72-B72</f>
        <v>-1263817.74</v>
      </c>
    </row>
    <row r="73" spans="1:5" ht="14.25" customHeight="1" thickBot="1">
      <c r="A73" s="99" t="s">
        <v>262</v>
      </c>
      <c r="B73" s="213">
        <f>B39+B61</f>
        <v>956700</v>
      </c>
      <c r="C73" s="213">
        <f>C39+C61</f>
        <v>378542.4</v>
      </c>
      <c r="D73" s="100">
        <f>IF(B73=0,"   ",C73/B73*100)</f>
        <v>39.567513327061775</v>
      </c>
      <c r="E73" s="101">
        <f>C73-B73</f>
        <v>-578157.6</v>
      </c>
    </row>
    <row r="74" spans="1:5" ht="14.25" customHeight="1">
      <c r="A74" s="111" t="s">
        <v>317</v>
      </c>
      <c r="B74" s="111"/>
      <c r="C74" s="235"/>
      <c r="D74" s="235"/>
      <c r="E74" s="235"/>
    </row>
    <row r="75" spans="1:5" ht="12.75" customHeight="1">
      <c r="A75" s="111" t="s">
        <v>318</v>
      </c>
      <c r="B75" s="111"/>
      <c r="C75" s="112" t="s">
        <v>319</v>
      </c>
      <c r="D75" s="113"/>
      <c r="E75" s="114"/>
    </row>
    <row r="76" spans="1:5" ht="12.75">
      <c r="A76" s="7"/>
      <c r="B76" s="7"/>
      <c r="C76" s="6"/>
      <c r="D76" s="7"/>
      <c r="E76" s="2"/>
    </row>
    <row r="77" spans="1:5" ht="12.75">
      <c r="A77" s="7"/>
      <c r="B77" s="7"/>
      <c r="C77" s="6"/>
      <c r="D77" s="7"/>
      <c r="E77" s="2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</sheetData>
  <mergeCells count="2">
    <mergeCell ref="A1:E1"/>
    <mergeCell ref="C74:E74"/>
  </mergeCells>
  <printOptions/>
  <pageMargins left="0.7874015748031497" right="0.7874015748031497" top="0.4724409448818898" bottom="0.5118110236220472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zoomScale="75" zoomScaleNormal="75" zoomScaleSheetLayoutView="75" workbookViewId="0" topLeftCell="A64">
      <selection activeCell="A94" sqref="A94:E95"/>
    </sheetView>
  </sheetViews>
  <sheetFormatPr defaultColWidth="9.00390625" defaultRowHeight="12.75"/>
  <cols>
    <col min="1" max="1" width="92.87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37" t="s">
        <v>311</v>
      </c>
      <c r="B1" s="237"/>
      <c r="C1" s="237"/>
      <c r="D1" s="237"/>
      <c r="E1" s="237"/>
    </row>
    <row r="2" spans="1:5" ht="13.5" thickBot="1">
      <c r="A2" s="4"/>
      <c r="B2" s="4"/>
      <c r="C2" s="5"/>
      <c r="D2" s="4"/>
      <c r="E2" s="4" t="s">
        <v>0</v>
      </c>
    </row>
    <row r="3" spans="1:5" ht="61.5" customHeight="1">
      <c r="A3" s="35" t="s">
        <v>1</v>
      </c>
      <c r="B3" s="19" t="s">
        <v>240</v>
      </c>
      <c r="C3" s="32" t="s">
        <v>303</v>
      </c>
      <c r="D3" s="19" t="s">
        <v>243</v>
      </c>
      <c r="E3" s="19" t="s">
        <v>244</v>
      </c>
    </row>
    <row r="4" spans="1:5" ht="12.75">
      <c r="A4" s="13">
        <v>1</v>
      </c>
      <c r="B4" s="98">
        <v>2</v>
      </c>
      <c r="C4" s="34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58</v>
      </c>
      <c r="B6" s="192">
        <f>SUM(B7)</f>
        <v>62000</v>
      </c>
      <c r="C6" s="192">
        <f>SUM(C7)</f>
        <v>31981.3</v>
      </c>
      <c r="D6" s="26">
        <f aca="true" t="shared" si="0" ref="D6:D69">IF(B6=0,"   ",C6/B6*100)</f>
        <v>51.58274193548387</v>
      </c>
      <c r="E6" s="50">
        <f aca="true" t="shared" si="1" ref="E6:E93">C6-B6</f>
        <v>-30018.7</v>
      </c>
    </row>
    <row r="7" spans="1:5" ht="15" customHeight="1">
      <c r="A7" s="16" t="s">
        <v>57</v>
      </c>
      <c r="B7" s="25">
        <v>62000</v>
      </c>
      <c r="C7" s="27">
        <v>31981.3</v>
      </c>
      <c r="D7" s="26">
        <f t="shared" si="0"/>
        <v>51.58274193548387</v>
      </c>
      <c r="E7" s="50">
        <f t="shared" si="1"/>
        <v>-30018.7</v>
      </c>
    </row>
    <row r="8" spans="1:5" ht="16.5" customHeight="1">
      <c r="A8" s="16" t="s">
        <v>7</v>
      </c>
      <c r="B8" s="194">
        <f>B9</f>
        <v>28000</v>
      </c>
      <c r="C8" s="194">
        <f>C9</f>
        <v>27562.4</v>
      </c>
      <c r="D8" s="26">
        <f t="shared" si="0"/>
        <v>98.43714285714287</v>
      </c>
      <c r="E8" s="50">
        <f t="shared" si="1"/>
        <v>-437.59999999999854</v>
      </c>
    </row>
    <row r="9" spans="1:5" ht="15" customHeight="1">
      <c r="A9" s="16" t="s">
        <v>38</v>
      </c>
      <c r="B9" s="25">
        <v>28000</v>
      </c>
      <c r="C9" s="27">
        <v>27562.4</v>
      </c>
      <c r="D9" s="26">
        <f t="shared" si="0"/>
        <v>98.43714285714287</v>
      </c>
      <c r="E9" s="50">
        <f t="shared" si="1"/>
        <v>-437.59999999999854</v>
      </c>
    </row>
    <row r="10" spans="1:5" ht="15" customHeight="1">
      <c r="A10" s="16" t="s">
        <v>9</v>
      </c>
      <c r="B10" s="194">
        <f>SUM(B11:B12)</f>
        <v>121400</v>
      </c>
      <c r="C10" s="194">
        <f>SUM(C11:C12)</f>
        <v>12814.81</v>
      </c>
      <c r="D10" s="26">
        <f t="shared" si="0"/>
        <v>10.555856672158155</v>
      </c>
      <c r="E10" s="50">
        <f t="shared" si="1"/>
        <v>-108585.19</v>
      </c>
    </row>
    <row r="11" spans="1:5" ht="12.75" customHeight="1">
      <c r="A11" s="16" t="s">
        <v>39</v>
      </c>
      <c r="B11" s="25">
        <v>66000</v>
      </c>
      <c r="C11" s="27">
        <v>8511.73</v>
      </c>
      <c r="D11" s="26">
        <f t="shared" si="0"/>
        <v>12.896560606060605</v>
      </c>
      <c r="E11" s="50">
        <f t="shared" si="1"/>
        <v>-57488.270000000004</v>
      </c>
    </row>
    <row r="12" spans="1:5" ht="15" customHeight="1">
      <c r="A12" s="16" t="s">
        <v>10</v>
      </c>
      <c r="B12" s="25">
        <v>55400</v>
      </c>
      <c r="C12" s="27">
        <v>4303.08</v>
      </c>
      <c r="D12" s="26">
        <f t="shared" si="0"/>
        <v>7.767292418772563</v>
      </c>
      <c r="E12" s="50">
        <f t="shared" si="1"/>
        <v>-51096.92</v>
      </c>
    </row>
    <row r="13" spans="1:5" ht="27.75" customHeight="1">
      <c r="A13" s="16" t="s">
        <v>148</v>
      </c>
      <c r="B13" s="25">
        <v>0</v>
      </c>
      <c r="C13" s="25">
        <v>0</v>
      </c>
      <c r="D13" s="26" t="str">
        <f t="shared" si="0"/>
        <v>   </v>
      </c>
      <c r="E13" s="50">
        <f t="shared" si="1"/>
        <v>0</v>
      </c>
    </row>
    <row r="14" spans="1:5" ht="27.75" customHeight="1">
      <c r="A14" s="16" t="s">
        <v>40</v>
      </c>
      <c r="B14" s="194">
        <f>SUM(B15:B16)</f>
        <v>58000</v>
      </c>
      <c r="C14" s="194">
        <f>SUM(C15:C16)</f>
        <v>17912.01</v>
      </c>
      <c r="D14" s="26">
        <f t="shared" si="0"/>
        <v>30.88277586206896</v>
      </c>
      <c r="E14" s="50">
        <f t="shared" si="1"/>
        <v>-40087.990000000005</v>
      </c>
    </row>
    <row r="15" spans="1:5" ht="12.75" customHeight="1">
      <c r="A15" s="16" t="s">
        <v>41</v>
      </c>
      <c r="B15" s="25">
        <v>50000</v>
      </c>
      <c r="C15" s="25">
        <v>17912.01</v>
      </c>
      <c r="D15" s="26">
        <f t="shared" si="0"/>
        <v>35.82402</v>
      </c>
      <c r="E15" s="50">
        <f t="shared" si="1"/>
        <v>-32087.99</v>
      </c>
    </row>
    <row r="16" spans="1:5" ht="26.25" customHeight="1">
      <c r="A16" s="16" t="s">
        <v>42</v>
      </c>
      <c r="B16" s="25">
        <v>8000</v>
      </c>
      <c r="C16" s="25">
        <v>0</v>
      </c>
      <c r="D16" s="26">
        <f t="shared" si="0"/>
        <v>0</v>
      </c>
      <c r="E16" s="50">
        <f t="shared" si="1"/>
        <v>-8000</v>
      </c>
    </row>
    <row r="17" spans="1:5" ht="15.75" customHeight="1">
      <c r="A17" s="43" t="s">
        <v>153</v>
      </c>
      <c r="B17" s="25">
        <v>0</v>
      </c>
      <c r="C17" s="27">
        <v>2627.39</v>
      </c>
      <c r="D17" s="26" t="str">
        <f t="shared" si="0"/>
        <v>   </v>
      </c>
      <c r="E17" s="50">
        <f t="shared" si="1"/>
        <v>2627.39</v>
      </c>
    </row>
    <row r="18" spans="1:5" ht="15.75" customHeight="1">
      <c r="A18" s="16" t="s">
        <v>109</v>
      </c>
      <c r="B18" s="192">
        <f>B19</f>
        <v>0</v>
      </c>
      <c r="C18" s="192">
        <f>C19</f>
        <v>3955.9</v>
      </c>
      <c r="D18" s="26" t="str">
        <f t="shared" si="0"/>
        <v>   </v>
      </c>
      <c r="E18" s="50">
        <f t="shared" si="1"/>
        <v>3955.9</v>
      </c>
    </row>
    <row r="19" spans="1:5" ht="27.75" customHeight="1">
      <c r="A19" s="16" t="s">
        <v>110</v>
      </c>
      <c r="B19" s="25">
        <v>0</v>
      </c>
      <c r="C19" s="27">
        <v>3955.9</v>
      </c>
      <c r="D19" s="26" t="str">
        <f t="shared" si="0"/>
        <v>   </v>
      </c>
      <c r="E19" s="50">
        <f t="shared" si="1"/>
        <v>3955.9</v>
      </c>
    </row>
    <row r="20" spans="1:5" ht="13.5" customHeight="1">
      <c r="A20" s="16" t="s">
        <v>44</v>
      </c>
      <c r="B20" s="194">
        <f>SUM(B21:B22)</f>
        <v>0</v>
      </c>
      <c r="C20" s="194">
        <f>SUM(C21:C22)</f>
        <v>6133.33</v>
      </c>
      <c r="D20" s="26" t="str">
        <f t="shared" si="0"/>
        <v>   </v>
      </c>
      <c r="E20" s="50">
        <f t="shared" si="1"/>
        <v>6133.33</v>
      </c>
    </row>
    <row r="21" spans="1:5" ht="13.5" customHeight="1">
      <c r="A21" s="16" t="s">
        <v>197</v>
      </c>
      <c r="B21" s="25">
        <v>0</v>
      </c>
      <c r="C21" s="25">
        <v>333.33</v>
      </c>
      <c r="D21" s="26"/>
      <c r="E21" s="50"/>
    </row>
    <row r="22" spans="1:5" ht="15" customHeight="1">
      <c r="A22" s="16" t="s">
        <v>68</v>
      </c>
      <c r="B22" s="25">
        <v>0</v>
      </c>
      <c r="C22" s="27">
        <v>5800</v>
      </c>
      <c r="D22" s="26" t="str">
        <f t="shared" si="0"/>
        <v>   </v>
      </c>
      <c r="E22" s="50">
        <f t="shared" si="1"/>
        <v>5800</v>
      </c>
    </row>
    <row r="23" spans="1:5" ht="13.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50">
        <f t="shared" si="1"/>
        <v>0</v>
      </c>
    </row>
    <row r="24" spans="1:5" ht="16.5" customHeight="1">
      <c r="A24" s="165" t="s">
        <v>11</v>
      </c>
      <c r="B24" s="166">
        <f>SUM(B6,B8,B10,B13,B14,B17,B18,B22,B23,)</f>
        <v>269400</v>
      </c>
      <c r="C24" s="166">
        <f>SUM(C6,C8,C10,C13,C14,C17,C18,C20,C23)</f>
        <v>102987.13999999998</v>
      </c>
      <c r="D24" s="167">
        <f t="shared" si="0"/>
        <v>38.22833704528581</v>
      </c>
      <c r="E24" s="168">
        <f t="shared" si="1"/>
        <v>-166412.86000000002</v>
      </c>
    </row>
    <row r="25" spans="1:5" ht="18" customHeight="1">
      <c r="A25" s="17" t="s">
        <v>46</v>
      </c>
      <c r="B25" s="24">
        <v>1262600</v>
      </c>
      <c r="C25" s="24">
        <v>607000</v>
      </c>
      <c r="D25" s="26">
        <f t="shared" si="0"/>
        <v>48.075399968319346</v>
      </c>
      <c r="E25" s="50">
        <f t="shared" si="1"/>
        <v>-655600</v>
      </c>
    </row>
    <row r="26" spans="1:5" ht="15.75" customHeight="1">
      <c r="A26" s="16" t="s">
        <v>65</v>
      </c>
      <c r="B26" s="25">
        <v>170000</v>
      </c>
      <c r="C26" s="27">
        <v>0</v>
      </c>
      <c r="D26" s="26">
        <f t="shared" si="0"/>
        <v>0</v>
      </c>
      <c r="E26" s="50">
        <f t="shared" si="1"/>
        <v>-170000</v>
      </c>
    </row>
    <row r="27" spans="1:5" ht="26.25" customHeight="1">
      <c r="A27" s="201" t="s">
        <v>69</v>
      </c>
      <c r="B27" s="202">
        <v>45900</v>
      </c>
      <c r="C27" s="202">
        <v>45900</v>
      </c>
      <c r="D27" s="203">
        <f t="shared" si="0"/>
        <v>100</v>
      </c>
      <c r="E27" s="204">
        <f t="shared" si="1"/>
        <v>0</v>
      </c>
    </row>
    <row r="28" spans="1:5" ht="27.75" customHeight="1">
      <c r="A28" s="205" t="s">
        <v>164</v>
      </c>
      <c r="B28" s="202">
        <v>100</v>
      </c>
      <c r="C28" s="206">
        <v>100</v>
      </c>
      <c r="D28" s="203">
        <f t="shared" si="0"/>
        <v>100</v>
      </c>
      <c r="E28" s="204">
        <f t="shared" si="1"/>
        <v>0</v>
      </c>
    </row>
    <row r="29" spans="1:5" ht="26.25" customHeight="1">
      <c r="A29" s="16" t="s">
        <v>120</v>
      </c>
      <c r="B29" s="25">
        <v>109400</v>
      </c>
      <c r="C29" s="25">
        <v>0</v>
      </c>
      <c r="D29" s="26">
        <f t="shared" si="0"/>
        <v>0</v>
      </c>
      <c r="E29" s="50">
        <f t="shared" si="1"/>
        <v>-109400</v>
      </c>
    </row>
    <row r="30" spans="1:5" ht="27" customHeight="1">
      <c r="A30" s="16" t="s">
        <v>200</v>
      </c>
      <c r="B30" s="25">
        <v>207600</v>
      </c>
      <c r="C30" s="25">
        <v>0</v>
      </c>
      <c r="D30" s="26">
        <f t="shared" si="0"/>
        <v>0</v>
      </c>
      <c r="E30" s="50">
        <f t="shared" si="1"/>
        <v>-207600</v>
      </c>
    </row>
    <row r="31" spans="1:5" ht="30" customHeight="1">
      <c r="A31" s="16" t="s">
        <v>179</v>
      </c>
      <c r="B31" s="25">
        <v>0</v>
      </c>
      <c r="C31" s="25">
        <v>0</v>
      </c>
      <c r="D31" s="26" t="str">
        <f t="shared" si="0"/>
        <v>   </v>
      </c>
      <c r="E31" s="50">
        <f t="shared" si="1"/>
        <v>0</v>
      </c>
    </row>
    <row r="32" spans="1:5" ht="26.25" customHeight="1">
      <c r="A32" s="201" t="s">
        <v>174</v>
      </c>
      <c r="B32" s="202">
        <v>3800</v>
      </c>
      <c r="C32" s="202">
        <v>3800</v>
      </c>
      <c r="D32" s="203">
        <f t="shared" si="0"/>
        <v>100</v>
      </c>
      <c r="E32" s="204">
        <f t="shared" si="1"/>
        <v>0</v>
      </c>
    </row>
    <row r="33" spans="1:5" ht="40.5" customHeight="1">
      <c r="A33" s="16" t="s">
        <v>180</v>
      </c>
      <c r="B33" s="25">
        <v>0</v>
      </c>
      <c r="C33" s="25">
        <v>0</v>
      </c>
      <c r="D33" s="26" t="str">
        <f t="shared" si="0"/>
        <v>   </v>
      </c>
      <c r="E33" s="50">
        <f t="shared" si="1"/>
        <v>0</v>
      </c>
    </row>
    <row r="34" spans="1:5" ht="15" customHeight="1">
      <c r="A34" s="16" t="s">
        <v>76</v>
      </c>
      <c r="B34" s="195">
        <f>B35</f>
        <v>180000</v>
      </c>
      <c r="C34" s="195">
        <f>C35</f>
        <v>30000</v>
      </c>
      <c r="D34" s="26">
        <f t="shared" si="0"/>
        <v>16.666666666666664</v>
      </c>
      <c r="E34" s="50">
        <f t="shared" si="1"/>
        <v>-150000</v>
      </c>
    </row>
    <row r="35" spans="1:5" s="7" customFormat="1" ht="14.25" customHeight="1">
      <c r="A35" s="64" t="s">
        <v>211</v>
      </c>
      <c r="B35" s="65">
        <v>180000</v>
      </c>
      <c r="C35" s="27">
        <v>30000</v>
      </c>
      <c r="D35" s="65">
        <f t="shared" si="0"/>
        <v>16.666666666666664</v>
      </c>
      <c r="E35" s="44">
        <f t="shared" si="1"/>
        <v>-150000</v>
      </c>
    </row>
    <row r="36" spans="1:5" ht="17.25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50">
        <f t="shared" si="1"/>
        <v>0</v>
      </c>
    </row>
    <row r="37" spans="1:5" ht="18" customHeight="1">
      <c r="A37" s="165" t="s">
        <v>14</v>
      </c>
      <c r="B37" s="215">
        <f>SUM(B24,B25,B26:B34,B36)</f>
        <v>2248800</v>
      </c>
      <c r="C37" s="215">
        <f>SUM(C24,C25,C26:C34,C36)</f>
        <v>789787.14</v>
      </c>
      <c r="D37" s="167">
        <f t="shared" si="0"/>
        <v>35.120381536819636</v>
      </c>
      <c r="E37" s="168">
        <f t="shared" si="1"/>
        <v>-1459012.8599999999</v>
      </c>
    </row>
    <row r="38" spans="1:5" ht="15" customHeight="1" thickBot="1">
      <c r="A38" s="156" t="s">
        <v>15</v>
      </c>
      <c r="B38" s="157"/>
      <c r="C38" s="158"/>
      <c r="D38" s="170" t="str">
        <f t="shared" si="0"/>
        <v>   </v>
      </c>
      <c r="E38" s="171">
        <f t="shared" si="1"/>
        <v>0</v>
      </c>
    </row>
    <row r="39" spans="1:5" ht="13.5" customHeight="1" thickBot="1">
      <c r="A39" s="187" t="s">
        <v>48</v>
      </c>
      <c r="B39" s="188">
        <v>773160</v>
      </c>
      <c r="C39" s="188">
        <v>350197.5</v>
      </c>
      <c r="D39" s="189">
        <f t="shared" si="0"/>
        <v>45.29431165606084</v>
      </c>
      <c r="E39" s="190">
        <f t="shared" si="1"/>
        <v>-422962.5</v>
      </c>
    </row>
    <row r="40" spans="1:5" ht="15.75" customHeight="1">
      <c r="A40" s="175" t="s">
        <v>49</v>
      </c>
      <c r="B40" s="176">
        <v>757800</v>
      </c>
      <c r="C40" s="176">
        <v>346268.08</v>
      </c>
      <c r="D40" s="177">
        <f t="shared" si="0"/>
        <v>45.693861177091584</v>
      </c>
      <c r="E40" s="178">
        <f t="shared" si="1"/>
        <v>-411531.92</v>
      </c>
    </row>
    <row r="41" spans="1:5" ht="14.25" customHeight="1">
      <c r="A41" s="119" t="s">
        <v>258</v>
      </c>
      <c r="B41" s="25">
        <v>476900</v>
      </c>
      <c r="C41" s="28">
        <v>194575.09</v>
      </c>
      <c r="D41" s="26">
        <f t="shared" si="0"/>
        <v>40.79997693436779</v>
      </c>
      <c r="E41" s="50">
        <f t="shared" si="1"/>
        <v>-282324.91000000003</v>
      </c>
    </row>
    <row r="42" spans="1:5" ht="12.75">
      <c r="A42" s="16" t="s">
        <v>212</v>
      </c>
      <c r="B42" s="25">
        <v>100</v>
      </c>
      <c r="C42" s="28">
        <v>0</v>
      </c>
      <c r="D42" s="26">
        <f t="shared" si="0"/>
        <v>0</v>
      </c>
      <c r="E42" s="50">
        <f t="shared" si="1"/>
        <v>-100</v>
      </c>
    </row>
    <row r="43" spans="1:5" ht="12.75" customHeight="1">
      <c r="A43" s="16" t="s">
        <v>166</v>
      </c>
      <c r="B43" s="25">
        <v>500</v>
      </c>
      <c r="C43" s="27">
        <v>0</v>
      </c>
      <c r="D43" s="26">
        <f t="shared" si="0"/>
        <v>0</v>
      </c>
      <c r="E43" s="50">
        <f t="shared" si="1"/>
        <v>-500</v>
      </c>
    </row>
    <row r="44" spans="1:5" ht="12.75" customHeight="1">
      <c r="A44" s="16" t="s">
        <v>71</v>
      </c>
      <c r="B44" s="194">
        <f>B45</f>
        <v>14860</v>
      </c>
      <c r="C44" s="194">
        <f>C45</f>
        <v>3929.42</v>
      </c>
      <c r="D44" s="26">
        <f t="shared" si="0"/>
        <v>26.44293405114401</v>
      </c>
      <c r="E44" s="50">
        <f t="shared" si="1"/>
        <v>-10930.58</v>
      </c>
    </row>
    <row r="45" spans="1:5" ht="24" customHeight="1" thickBot="1">
      <c r="A45" s="155" t="s">
        <v>90</v>
      </c>
      <c r="B45" s="172">
        <v>14860</v>
      </c>
      <c r="C45" s="173">
        <v>3929.42</v>
      </c>
      <c r="D45" s="26">
        <f t="shared" si="0"/>
        <v>26.44293405114401</v>
      </c>
      <c r="E45" s="50">
        <f t="shared" si="1"/>
        <v>-10930.58</v>
      </c>
    </row>
    <row r="46" spans="1:5" ht="14.25" customHeight="1" thickBot="1">
      <c r="A46" s="187" t="s">
        <v>67</v>
      </c>
      <c r="B46" s="196">
        <f>SUM(B47)</f>
        <v>45900</v>
      </c>
      <c r="C46" s="196">
        <f>SUM(C47)</f>
        <v>18620.7</v>
      </c>
      <c r="D46" s="189">
        <f t="shared" si="0"/>
        <v>40.56797385620915</v>
      </c>
      <c r="E46" s="190">
        <f t="shared" si="1"/>
        <v>-27279.3</v>
      </c>
    </row>
    <row r="47" spans="1:5" ht="13.5" customHeight="1" thickBot="1">
      <c r="A47" s="179" t="s">
        <v>207</v>
      </c>
      <c r="B47" s="180">
        <v>45900</v>
      </c>
      <c r="C47" s="181">
        <v>18620.7</v>
      </c>
      <c r="D47" s="182">
        <f t="shared" si="0"/>
        <v>40.56797385620915</v>
      </c>
      <c r="E47" s="183">
        <f t="shared" si="1"/>
        <v>-27279.3</v>
      </c>
    </row>
    <row r="48" spans="1:5" ht="17.25" customHeight="1" thickBot="1">
      <c r="A48" s="187" t="s">
        <v>50</v>
      </c>
      <c r="B48" s="197">
        <f>SUM(B49)</f>
        <v>500</v>
      </c>
      <c r="C48" s="196">
        <f>SUM(C49)</f>
        <v>0</v>
      </c>
      <c r="D48" s="189">
        <f t="shared" si="0"/>
        <v>0</v>
      </c>
      <c r="E48" s="190">
        <f t="shared" si="1"/>
        <v>-500</v>
      </c>
    </row>
    <row r="49" spans="1:5" ht="27" customHeight="1">
      <c r="A49" s="146" t="s">
        <v>151</v>
      </c>
      <c r="B49" s="176">
        <v>500</v>
      </c>
      <c r="C49" s="184">
        <v>0</v>
      </c>
      <c r="D49" s="177">
        <f t="shared" si="0"/>
        <v>0</v>
      </c>
      <c r="E49" s="178">
        <f t="shared" si="1"/>
        <v>-500</v>
      </c>
    </row>
    <row r="50" spans="1:5" ht="15" customHeight="1" thickBot="1">
      <c r="A50" s="155" t="s">
        <v>51</v>
      </c>
      <c r="B50" s="172">
        <v>0</v>
      </c>
      <c r="C50" s="172">
        <v>0</v>
      </c>
      <c r="D50" s="170" t="str">
        <f t="shared" si="0"/>
        <v>   </v>
      </c>
      <c r="E50" s="171">
        <f t="shared" si="1"/>
        <v>0</v>
      </c>
    </row>
    <row r="51" spans="1:5" ht="15" customHeight="1" thickBot="1">
      <c r="A51" s="187" t="s">
        <v>16</v>
      </c>
      <c r="B51" s="197">
        <f>SUM(B54,B52)</f>
        <v>487940</v>
      </c>
      <c r="C51" s="197">
        <f>SUM(C54,C52)</f>
        <v>163140.04</v>
      </c>
      <c r="D51" s="189">
        <f t="shared" si="0"/>
        <v>33.43444685822028</v>
      </c>
      <c r="E51" s="190">
        <f t="shared" si="1"/>
        <v>-324799.95999999996</v>
      </c>
    </row>
    <row r="52" spans="1:5" ht="15" customHeight="1">
      <c r="A52" s="175" t="s">
        <v>152</v>
      </c>
      <c r="B52" s="200">
        <f>B53</f>
        <v>1640</v>
      </c>
      <c r="C52" s="200">
        <f>C53</f>
        <v>1639.75</v>
      </c>
      <c r="D52" s="177">
        <f t="shared" si="0"/>
        <v>99.98475609756098</v>
      </c>
      <c r="E52" s="178">
        <f t="shared" si="1"/>
        <v>-0.25</v>
      </c>
    </row>
    <row r="53" spans="1:5" ht="15" customHeight="1">
      <c r="A53" s="119" t="s">
        <v>284</v>
      </c>
      <c r="B53" s="25">
        <v>1640</v>
      </c>
      <c r="C53" s="25">
        <v>1639.75</v>
      </c>
      <c r="D53" s="26">
        <f t="shared" si="0"/>
        <v>99.98475609756098</v>
      </c>
      <c r="E53" s="50">
        <f t="shared" si="1"/>
        <v>-0.25</v>
      </c>
    </row>
    <row r="54" spans="1:5" ht="15" customHeight="1">
      <c r="A54" s="16" t="s">
        <v>84</v>
      </c>
      <c r="B54" s="25">
        <v>486300</v>
      </c>
      <c r="C54" s="25">
        <v>161500.29</v>
      </c>
      <c r="D54" s="26">
        <f t="shared" si="0"/>
        <v>33.210012338062924</v>
      </c>
      <c r="E54" s="50">
        <f t="shared" si="1"/>
        <v>-324799.70999999996</v>
      </c>
    </row>
    <row r="55" spans="1:5" ht="15" customHeight="1">
      <c r="A55" s="16" t="s">
        <v>86</v>
      </c>
      <c r="B55" s="25">
        <v>156300</v>
      </c>
      <c r="C55" s="27">
        <v>101500.29</v>
      </c>
      <c r="D55" s="26">
        <f t="shared" si="0"/>
        <v>64.93940499040308</v>
      </c>
      <c r="E55" s="50">
        <f t="shared" si="1"/>
        <v>-54799.71000000001</v>
      </c>
    </row>
    <row r="56" spans="1:5" ht="15" customHeight="1">
      <c r="A56" s="16" t="s">
        <v>130</v>
      </c>
      <c r="B56" s="25">
        <v>180000</v>
      </c>
      <c r="C56" s="27">
        <v>30000</v>
      </c>
      <c r="D56" s="26">
        <f t="shared" si="0"/>
        <v>16.666666666666664</v>
      </c>
      <c r="E56" s="50">
        <f t="shared" si="1"/>
        <v>-150000</v>
      </c>
    </row>
    <row r="57" spans="1:5" ht="15" customHeight="1">
      <c r="A57" s="16" t="s">
        <v>131</v>
      </c>
      <c r="B57" s="25">
        <v>100000</v>
      </c>
      <c r="C57" s="27">
        <v>30000</v>
      </c>
      <c r="D57" s="26">
        <f t="shared" si="0"/>
        <v>30</v>
      </c>
      <c r="E57" s="50">
        <f t="shared" si="1"/>
        <v>-70000</v>
      </c>
    </row>
    <row r="58" spans="1:5" ht="13.5" customHeight="1" thickBot="1">
      <c r="A58" s="155" t="s">
        <v>85</v>
      </c>
      <c r="B58" s="172">
        <v>50000</v>
      </c>
      <c r="C58" s="173">
        <v>0</v>
      </c>
      <c r="D58" s="170">
        <f t="shared" si="0"/>
        <v>0</v>
      </c>
      <c r="E58" s="171">
        <f t="shared" si="1"/>
        <v>-50000</v>
      </c>
    </row>
    <row r="59" spans="1:5" ht="15.75" thickBot="1">
      <c r="A59" s="191" t="s">
        <v>24</v>
      </c>
      <c r="B59" s="149">
        <v>15000</v>
      </c>
      <c r="C59" s="149">
        <v>1835</v>
      </c>
      <c r="D59" s="189">
        <f t="shared" si="0"/>
        <v>12.233333333333334</v>
      </c>
      <c r="E59" s="190">
        <f t="shared" si="1"/>
        <v>-13165</v>
      </c>
    </row>
    <row r="60" spans="1:5" ht="15.75" customHeight="1" thickBot="1">
      <c r="A60" s="187" t="s">
        <v>54</v>
      </c>
      <c r="B60" s="198">
        <f>B61</f>
        <v>513600</v>
      </c>
      <c r="C60" s="198">
        <f>C61</f>
        <v>230538.1</v>
      </c>
      <c r="D60" s="189">
        <f t="shared" si="0"/>
        <v>44.88670171339564</v>
      </c>
      <c r="E60" s="190">
        <f t="shared" si="1"/>
        <v>-283061.9</v>
      </c>
    </row>
    <row r="61" spans="1:5" ht="12.75">
      <c r="A61" s="175" t="s">
        <v>55</v>
      </c>
      <c r="B61" s="176">
        <v>513600</v>
      </c>
      <c r="C61" s="184">
        <v>230538.1</v>
      </c>
      <c r="D61" s="177">
        <f t="shared" si="0"/>
        <v>44.88670171339564</v>
      </c>
      <c r="E61" s="178">
        <f t="shared" si="1"/>
        <v>-283061.9</v>
      </c>
    </row>
    <row r="62" spans="1:5" ht="12.75">
      <c r="A62" s="119" t="s">
        <v>259</v>
      </c>
      <c r="B62" s="25">
        <v>250300</v>
      </c>
      <c r="C62" s="27">
        <v>107499.25</v>
      </c>
      <c r="D62" s="26">
        <f t="shared" si="0"/>
        <v>42.948162205353576</v>
      </c>
      <c r="E62" s="50">
        <f t="shared" si="1"/>
        <v>-142800.75</v>
      </c>
    </row>
    <row r="63" spans="1:5" ht="13.5" customHeight="1">
      <c r="A63" s="201" t="s">
        <v>202</v>
      </c>
      <c r="B63" s="227">
        <f>SUM(B64:B66)</f>
        <v>52500</v>
      </c>
      <c r="C63" s="227">
        <f>SUM(C64:C66)</f>
        <v>52500</v>
      </c>
      <c r="D63" s="203">
        <f t="shared" si="0"/>
        <v>100</v>
      </c>
      <c r="E63" s="204">
        <f t="shared" si="1"/>
        <v>0</v>
      </c>
    </row>
    <row r="64" spans="1:5" ht="13.5" customHeight="1">
      <c r="A64" s="201" t="s">
        <v>203</v>
      </c>
      <c r="B64" s="202">
        <v>52500</v>
      </c>
      <c r="C64" s="206">
        <v>52500</v>
      </c>
      <c r="D64" s="203">
        <f t="shared" si="0"/>
        <v>100</v>
      </c>
      <c r="E64" s="204">
        <f t="shared" si="1"/>
        <v>0</v>
      </c>
    </row>
    <row r="65" spans="1:5" ht="13.5" customHeight="1">
      <c r="A65" s="201" t="s">
        <v>233</v>
      </c>
      <c r="B65" s="202">
        <v>0</v>
      </c>
      <c r="C65" s="206">
        <v>0</v>
      </c>
      <c r="D65" s="203" t="str">
        <f t="shared" si="0"/>
        <v>   </v>
      </c>
      <c r="E65" s="204">
        <f t="shared" si="1"/>
        <v>0</v>
      </c>
    </row>
    <row r="66" spans="1:5" ht="13.5" customHeight="1">
      <c r="A66" s="201" t="s">
        <v>204</v>
      </c>
      <c r="B66" s="202">
        <v>0</v>
      </c>
      <c r="C66" s="206">
        <v>0</v>
      </c>
      <c r="D66" s="203" t="str">
        <f t="shared" si="0"/>
        <v>   </v>
      </c>
      <c r="E66" s="204">
        <f t="shared" si="1"/>
        <v>0</v>
      </c>
    </row>
    <row r="67" spans="1:5" ht="14.25" customHeight="1">
      <c r="A67" s="16" t="s">
        <v>208</v>
      </c>
      <c r="B67" s="25">
        <v>3800</v>
      </c>
      <c r="C67" s="27">
        <v>0</v>
      </c>
      <c r="D67" s="26">
        <f t="shared" si="0"/>
        <v>0</v>
      </c>
      <c r="E67" s="50">
        <f t="shared" si="1"/>
        <v>-3800</v>
      </c>
    </row>
    <row r="68" spans="1:5" ht="12.75">
      <c r="A68" s="16" t="s">
        <v>266</v>
      </c>
      <c r="B68" s="194">
        <f>SUM(B69,)</f>
        <v>30000</v>
      </c>
      <c r="C68" s="194">
        <f>SUM(C69,)</f>
        <v>11000</v>
      </c>
      <c r="D68" s="26">
        <f t="shared" si="0"/>
        <v>36.666666666666664</v>
      </c>
      <c r="E68" s="50">
        <f t="shared" si="1"/>
        <v>-19000</v>
      </c>
    </row>
    <row r="69" spans="1:5" ht="13.5" thickBot="1">
      <c r="A69" s="155" t="s">
        <v>56</v>
      </c>
      <c r="B69" s="172">
        <v>30000</v>
      </c>
      <c r="C69" s="174">
        <v>11000</v>
      </c>
      <c r="D69" s="170">
        <f t="shared" si="0"/>
        <v>36.666666666666664</v>
      </c>
      <c r="E69" s="171">
        <f t="shared" si="1"/>
        <v>-19000</v>
      </c>
    </row>
    <row r="70" spans="1:5" ht="13.5" thickBot="1">
      <c r="A70" s="187" t="s">
        <v>18</v>
      </c>
      <c r="B70" s="197">
        <f>B71</f>
        <v>440700</v>
      </c>
      <c r="C70" s="197">
        <f>C71</f>
        <v>0</v>
      </c>
      <c r="D70" s="189">
        <f aca="true" t="shared" si="2" ref="D70:D93">IF(B70=0,"   ",C70/B70*100)</f>
        <v>0</v>
      </c>
      <c r="E70" s="190">
        <f t="shared" si="1"/>
        <v>-440700</v>
      </c>
    </row>
    <row r="71" spans="1:5" ht="12.75">
      <c r="A71" s="175" t="s">
        <v>273</v>
      </c>
      <c r="B71" s="200">
        <f>SUM(B88,B81,B72)</f>
        <v>440700</v>
      </c>
      <c r="C71" s="200">
        <f>SUM(C88,C81,C72)</f>
        <v>0</v>
      </c>
      <c r="D71" s="177">
        <f t="shared" si="2"/>
        <v>0</v>
      </c>
      <c r="E71" s="178">
        <f t="shared" si="1"/>
        <v>-440700</v>
      </c>
    </row>
    <row r="72" spans="1:5" ht="14.25" customHeight="1">
      <c r="A72" s="159" t="s">
        <v>274</v>
      </c>
      <c r="B72" s="199">
        <f>SUM(B73,B77)</f>
        <v>273800</v>
      </c>
      <c r="C72" s="199">
        <f>SUM(C73:C77)</f>
        <v>0</v>
      </c>
      <c r="D72" s="26">
        <f t="shared" si="2"/>
        <v>0</v>
      </c>
      <c r="E72" s="50">
        <f t="shared" si="1"/>
        <v>-273800</v>
      </c>
    </row>
    <row r="73" spans="1:5" ht="12.75">
      <c r="A73" s="119" t="s">
        <v>279</v>
      </c>
      <c r="B73" s="212">
        <f>SUM(B74:B76)</f>
        <v>96300</v>
      </c>
      <c r="C73" s="212">
        <f>SUM(C74:C76)</f>
        <v>0</v>
      </c>
      <c r="D73" s="26">
        <f t="shared" si="2"/>
        <v>0</v>
      </c>
      <c r="E73" s="50">
        <f t="shared" si="1"/>
        <v>-96300</v>
      </c>
    </row>
    <row r="74" spans="1:5" ht="12.75">
      <c r="A74" s="48" t="s">
        <v>287</v>
      </c>
      <c r="B74" s="117">
        <v>0</v>
      </c>
      <c r="C74" s="25"/>
      <c r="D74" s="26" t="str">
        <f t="shared" si="2"/>
        <v>   </v>
      </c>
      <c r="E74" s="50">
        <f t="shared" si="1"/>
        <v>0</v>
      </c>
    </row>
    <row r="75" spans="1:5" ht="12.75">
      <c r="A75" s="48" t="s">
        <v>288</v>
      </c>
      <c r="B75" s="117">
        <v>0</v>
      </c>
      <c r="C75" s="25"/>
      <c r="D75" s="26" t="str">
        <f t="shared" si="2"/>
        <v>   </v>
      </c>
      <c r="E75" s="50">
        <f t="shared" si="1"/>
        <v>0</v>
      </c>
    </row>
    <row r="76" spans="1:5" ht="12.75">
      <c r="A76" s="48" t="s">
        <v>289</v>
      </c>
      <c r="B76" s="117">
        <v>96300</v>
      </c>
      <c r="C76" s="25">
        <v>0</v>
      </c>
      <c r="D76" s="26">
        <f t="shared" si="2"/>
        <v>0</v>
      </c>
      <c r="E76" s="50">
        <f t="shared" si="1"/>
        <v>-96300</v>
      </c>
    </row>
    <row r="77" spans="1:5" ht="25.5">
      <c r="A77" s="119" t="s">
        <v>278</v>
      </c>
      <c r="B77" s="212">
        <f>SUM(B78:B80)</f>
        <v>177500</v>
      </c>
      <c r="C77" s="212">
        <f>SUM(C78:C80)</f>
        <v>0</v>
      </c>
      <c r="D77" s="26">
        <f t="shared" si="2"/>
        <v>0</v>
      </c>
      <c r="E77" s="50">
        <f t="shared" si="1"/>
        <v>-177500</v>
      </c>
    </row>
    <row r="78" spans="1:5" ht="12.75">
      <c r="A78" s="48" t="s">
        <v>287</v>
      </c>
      <c r="B78" s="117">
        <v>177500</v>
      </c>
      <c r="C78" s="25">
        <v>0</v>
      </c>
      <c r="D78" s="26">
        <f t="shared" si="2"/>
        <v>0</v>
      </c>
      <c r="E78" s="50">
        <f t="shared" si="1"/>
        <v>-177500</v>
      </c>
    </row>
    <row r="79" spans="1:5" ht="12.75">
      <c r="A79" s="48" t="s">
        <v>288</v>
      </c>
      <c r="C79" s="25"/>
      <c r="D79" s="26" t="str">
        <f t="shared" si="2"/>
        <v>   </v>
      </c>
      <c r="E79" s="50">
        <f t="shared" si="1"/>
        <v>0</v>
      </c>
    </row>
    <row r="80" spans="1:5" ht="12.75">
      <c r="A80" s="48" t="s">
        <v>289</v>
      </c>
      <c r="B80" s="117"/>
      <c r="C80" s="25"/>
      <c r="D80" s="26" t="str">
        <f t="shared" si="2"/>
        <v>   </v>
      </c>
      <c r="E80" s="50">
        <f t="shared" si="1"/>
        <v>0</v>
      </c>
    </row>
    <row r="81" spans="1:5" ht="18" customHeight="1">
      <c r="A81" s="159" t="s">
        <v>275</v>
      </c>
      <c r="B81" s="199">
        <f>SUM(B82,B85)</f>
        <v>30100</v>
      </c>
      <c r="C81" s="199">
        <f>SUM(C82:C85)</f>
        <v>0</v>
      </c>
      <c r="D81" s="26">
        <f t="shared" si="2"/>
        <v>0</v>
      </c>
      <c r="E81" s="50">
        <f t="shared" si="1"/>
        <v>-30100</v>
      </c>
    </row>
    <row r="82" spans="1:5" ht="13.5" customHeight="1">
      <c r="A82" s="119" t="s">
        <v>279</v>
      </c>
      <c r="B82" s="212">
        <f>SUM(B83:B84)</f>
        <v>0</v>
      </c>
      <c r="C82" s="212">
        <f>SUM(C83:C84)</f>
        <v>0</v>
      </c>
      <c r="D82" s="26" t="str">
        <f t="shared" si="2"/>
        <v>   </v>
      </c>
      <c r="E82" s="50">
        <f t="shared" si="1"/>
        <v>0</v>
      </c>
    </row>
    <row r="83" spans="1:5" ht="13.5" customHeight="1">
      <c r="A83" s="48" t="s">
        <v>288</v>
      </c>
      <c r="B83" s="117">
        <v>0</v>
      </c>
      <c r="C83" s="27">
        <v>0</v>
      </c>
      <c r="D83" s="26" t="str">
        <f t="shared" si="2"/>
        <v>   </v>
      </c>
      <c r="E83" s="50">
        <f t="shared" si="1"/>
        <v>0</v>
      </c>
    </row>
    <row r="84" spans="1:5" ht="13.5" customHeight="1">
      <c r="A84" s="48" t="s">
        <v>289</v>
      </c>
      <c r="B84" s="117">
        <v>0</v>
      </c>
      <c r="C84" s="27">
        <v>0</v>
      </c>
      <c r="D84" s="26" t="str">
        <f t="shared" si="2"/>
        <v>   </v>
      </c>
      <c r="E84" s="50">
        <f t="shared" si="1"/>
        <v>0</v>
      </c>
    </row>
    <row r="85" spans="1:5" ht="27" customHeight="1">
      <c r="A85" s="119" t="s">
        <v>278</v>
      </c>
      <c r="B85" s="212">
        <f>SUM(B86:B87)</f>
        <v>30100</v>
      </c>
      <c r="C85" s="212">
        <f>SUM(C86:C87)</f>
        <v>0</v>
      </c>
      <c r="D85" s="26">
        <f t="shared" si="2"/>
        <v>0</v>
      </c>
      <c r="E85" s="50">
        <f t="shared" si="1"/>
        <v>-30100</v>
      </c>
    </row>
    <row r="86" spans="1:5" ht="15.75" customHeight="1">
      <c r="A86" s="48" t="s">
        <v>288</v>
      </c>
      <c r="B86">
        <v>30100</v>
      </c>
      <c r="C86" s="27">
        <v>0</v>
      </c>
      <c r="D86" s="26">
        <f t="shared" si="2"/>
        <v>0</v>
      </c>
      <c r="E86" s="50">
        <f t="shared" si="1"/>
        <v>-30100</v>
      </c>
    </row>
    <row r="87" spans="1:5" ht="15" customHeight="1">
      <c r="A87" s="48" t="s">
        <v>289</v>
      </c>
      <c r="B87" s="117">
        <v>0</v>
      </c>
      <c r="C87" s="27">
        <v>0</v>
      </c>
      <c r="D87" s="26" t="str">
        <f t="shared" si="2"/>
        <v>   </v>
      </c>
      <c r="E87" s="50">
        <f t="shared" si="1"/>
        <v>0</v>
      </c>
    </row>
    <row r="88" spans="1:5" ht="15.75" customHeight="1">
      <c r="A88" s="159" t="s">
        <v>280</v>
      </c>
      <c r="B88" s="199">
        <f>SUM(B89:B91)</f>
        <v>136800</v>
      </c>
      <c r="C88" s="199">
        <f>SUM(C89:C91)</f>
        <v>0</v>
      </c>
      <c r="D88" s="26">
        <f t="shared" si="2"/>
        <v>0</v>
      </c>
      <c r="E88" s="50">
        <f t="shared" si="1"/>
        <v>-136800</v>
      </c>
    </row>
    <row r="89" spans="1:5" ht="12" customHeight="1">
      <c r="A89" s="48" t="s">
        <v>287</v>
      </c>
      <c r="B89" s="121">
        <v>0</v>
      </c>
      <c r="C89" s="122">
        <v>0</v>
      </c>
      <c r="D89" s="26" t="str">
        <f t="shared" si="2"/>
        <v>   </v>
      </c>
      <c r="E89" s="50">
        <f t="shared" si="1"/>
        <v>0</v>
      </c>
    </row>
    <row r="90" spans="1:5" ht="13.5" customHeight="1">
      <c r="A90" s="48" t="s">
        <v>288</v>
      </c>
      <c r="B90" s="121">
        <v>109400</v>
      </c>
      <c r="C90" s="122">
        <v>0</v>
      </c>
      <c r="D90" s="26">
        <f t="shared" si="2"/>
        <v>0</v>
      </c>
      <c r="E90" s="50">
        <f t="shared" si="1"/>
        <v>-109400</v>
      </c>
    </row>
    <row r="91" spans="1:5" ht="13.5" customHeight="1">
      <c r="A91" s="48" t="s">
        <v>289</v>
      </c>
      <c r="B91" s="121">
        <v>27400</v>
      </c>
      <c r="C91" s="122">
        <v>0</v>
      </c>
      <c r="D91" s="26">
        <f t="shared" si="2"/>
        <v>0</v>
      </c>
      <c r="E91" s="50">
        <f t="shared" si="1"/>
        <v>-27400</v>
      </c>
    </row>
    <row r="92" spans="1:5" ht="18.75" customHeight="1">
      <c r="A92" s="165" t="s">
        <v>19</v>
      </c>
      <c r="B92" s="169">
        <f>SUM(B39,B46,B48,B50,B51,B59,B60,B68,B70,)</f>
        <v>2306800</v>
      </c>
      <c r="C92" s="169">
        <f>SUM(C39,C46,C48,C50,C51,C59,C60,C68,C70,)</f>
        <v>775331.34</v>
      </c>
      <c r="D92" s="167">
        <f t="shared" si="2"/>
        <v>33.610687532512564</v>
      </c>
      <c r="E92" s="168">
        <f t="shared" si="1"/>
        <v>-1531468.6600000001</v>
      </c>
    </row>
    <row r="93" spans="1:5" ht="18" customHeight="1" thickBot="1">
      <c r="A93" s="99" t="s">
        <v>262</v>
      </c>
      <c r="B93" s="213">
        <f>B41+B62</f>
        <v>727200</v>
      </c>
      <c r="C93" s="213">
        <f>C41+C62</f>
        <v>302074.33999999997</v>
      </c>
      <c r="D93" s="100">
        <f t="shared" si="2"/>
        <v>41.53937568756875</v>
      </c>
      <c r="E93" s="101">
        <f t="shared" si="1"/>
        <v>-425125.66000000003</v>
      </c>
    </row>
    <row r="94" spans="1:5" ht="29.25" customHeight="1">
      <c r="A94" s="111" t="s">
        <v>317</v>
      </c>
      <c r="B94" s="111"/>
      <c r="C94" s="235"/>
      <c r="D94" s="235"/>
      <c r="E94" s="235"/>
    </row>
    <row r="95" spans="1:5" ht="14.25">
      <c r="A95" s="111" t="s">
        <v>318</v>
      </c>
      <c r="B95" s="111"/>
      <c r="C95" s="112" t="s">
        <v>319</v>
      </c>
      <c r="D95" s="113"/>
      <c r="E95" s="114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</sheetData>
  <mergeCells count="2">
    <mergeCell ref="A1:E1"/>
    <mergeCell ref="C94:E94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"/>
  <sheetViews>
    <sheetView zoomScale="75" zoomScaleNormal="75" workbookViewId="0" topLeftCell="A62">
      <selection activeCell="A86" sqref="A86:E87"/>
    </sheetView>
  </sheetViews>
  <sheetFormatPr defaultColWidth="9.00390625" defaultRowHeight="12.75"/>
  <cols>
    <col min="1" max="1" width="99.125" style="0" customWidth="1"/>
    <col min="2" max="2" width="17.37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37" t="s">
        <v>310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5.25" customHeight="1">
      <c r="A4" s="35" t="s">
        <v>1</v>
      </c>
      <c r="B4" s="19" t="s">
        <v>240</v>
      </c>
      <c r="C4" s="32" t="s">
        <v>303</v>
      </c>
      <c r="D4" s="19" t="s">
        <v>241</v>
      </c>
      <c r="E4" s="102" t="s">
        <v>245</v>
      </c>
    </row>
    <row r="5" spans="1:5" ht="12.75">
      <c r="A5" s="13">
        <v>1</v>
      </c>
      <c r="B5" s="98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58</v>
      </c>
      <c r="B7" s="192">
        <f>SUM(B8)</f>
        <v>69300</v>
      </c>
      <c r="C7" s="192">
        <f>SUM(C8)</f>
        <v>35392.51</v>
      </c>
      <c r="D7" s="26">
        <f aca="true" t="shared" si="0" ref="D7:D70">IF(B7=0,"   ",C7/B7*100)</f>
        <v>51.07144300144301</v>
      </c>
      <c r="E7" s="50">
        <f aca="true" t="shared" si="1" ref="E7:E85">C7-B7</f>
        <v>-33907.49</v>
      </c>
    </row>
    <row r="8" spans="1:5" ht="12.75" customHeight="1">
      <c r="A8" s="16" t="s">
        <v>57</v>
      </c>
      <c r="B8" s="25">
        <v>69300</v>
      </c>
      <c r="C8" s="27">
        <v>35392.51</v>
      </c>
      <c r="D8" s="26">
        <f t="shared" si="0"/>
        <v>51.07144300144301</v>
      </c>
      <c r="E8" s="50">
        <f t="shared" si="1"/>
        <v>-33907.49</v>
      </c>
    </row>
    <row r="9" spans="1:5" ht="16.5" customHeight="1">
      <c r="A9" s="16" t="s">
        <v>7</v>
      </c>
      <c r="B9" s="194">
        <f>SUM(B10:B10)</f>
        <v>23000</v>
      </c>
      <c r="C9" s="194">
        <f>SUM(C10:C10)</f>
        <v>4185.17</v>
      </c>
      <c r="D9" s="26">
        <f t="shared" si="0"/>
        <v>18.196391304347827</v>
      </c>
      <c r="E9" s="50">
        <f t="shared" si="1"/>
        <v>-18814.83</v>
      </c>
    </row>
    <row r="10" spans="1:5" ht="16.5" customHeight="1">
      <c r="A10" s="16" t="s">
        <v>38</v>
      </c>
      <c r="B10" s="25">
        <v>23000</v>
      </c>
      <c r="C10" s="27">
        <v>4185.17</v>
      </c>
      <c r="D10" s="26">
        <f t="shared" si="0"/>
        <v>18.196391304347827</v>
      </c>
      <c r="E10" s="50">
        <f t="shared" si="1"/>
        <v>-18814.83</v>
      </c>
    </row>
    <row r="11" spans="1:5" ht="15.75" customHeight="1">
      <c r="A11" s="16" t="s">
        <v>9</v>
      </c>
      <c r="B11" s="194">
        <f>SUM(B12:B13)</f>
        <v>366000</v>
      </c>
      <c r="C11" s="194">
        <f>SUM(C12:C13)</f>
        <v>48293.950000000004</v>
      </c>
      <c r="D11" s="26">
        <f t="shared" si="0"/>
        <v>13.19506830601093</v>
      </c>
      <c r="E11" s="50">
        <f t="shared" si="1"/>
        <v>-317706.05</v>
      </c>
    </row>
    <row r="12" spans="1:5" ht="15.75" customHeight="1">
      <c r="A12" s="16" t="s">
        <v>39</v>
      </c>
      <c r="B12" s="25">
        <v>111000</v>
      </c>
      <c r="C12" s="27">
        <v>5430.04</v>
      </c>
      <c r="D12" s="26">
        <f t="shared" si="0"/>
        <v>4.891927927927927</v>
      </c>
      <c r="E12" s="50">
        <f t="shared" si="1"/>
        <v>-105569.96</v>
      </c>
    </row>
    <row r="13" spans="1:5" ht="14.25" customHeight="1">
      <c r="A13" s="16" t="s">
        <v>10</v>
      </c>
      <c r="B13" s="25">
        <v>255000</v>
      </c>
      <c r="C13" s="27">
        <v>42863.91</v>
      </c>
      <c r="D13" s="26">
        <f t="shared" si="0"/>
        <v>16.809376470588237</v>
      </c>
      <c r="E13" s="50">
        <f t="shared" si="1"/>
        <v>-212136.09</v>
      </c>
    </row>
    <row r="14" spans="1:5" ht="27.75" customHeight="1">
      <c r="A14" s="16" t="s">
        <v>148</v>
      </c>
      <c r="B14" s="25">
        <v>0</v>
      </c>
      <c r="C14" s="25">
        <v>0.92</v>
      </c>
      <c r="D14" s="26" t="str">
        <f t="shared" si="0"/>
        <v>   </v>
      </c>
      <c r="E14" s="50">
        <f t="shared" si="1"/>
        <v>0.92</v>
      </c>
    </row>
    <row r="15" spans="1:5" ht="24.75" customHeight="1">
      <c r="A15" s="16" t="s">
        <v>40</v>
      </c>
      <c r="B15" s="194">
        <f>SUM(B16:B17)</f>
        <v>49000</v>
      </c>
      <c r="C15" s="194">
        <f>SUM(C16:C17)</f>
        <v>28496.88</v>
      </c>
      <c r="D15" s="26">
        <f t="shared" si="0"/>
        <v>58.156897959183674</v>
      </c>
      <c r="E15" s="50">
        <f t="shared" si="1"/>
        <v>-20503.12</v>
      </c>
    </row>
    <row r="16" spans="1:5" ht="13.5" customHeight="1">
      <c r="A16" s="16" t="s">
        <v>41</v>
      </c>
      <c r="B16" s="25">
        <v>7000</v>
      </c>
      <c r="C16" s="27">
        <v>470.58</v>
      </c>
      <c r="D16" s="26">
        <f t="shared" si="0"/>
        <v>6.7225714285714275</v>
      </c>
      <c r="E16" s="50">
        <f t="shared" si="1"/>
        <v>-6529.42</v>
      </c>
    </row>
    <row r="17" spans="1:5" ht="22.5" customHeight="1">
      <c r="A17" s="16" t="s">
        <v>42</v>
      </c>
      <c r="B17" s="25">
        <v>42000</v>
      </c>
      <c r="C17" s="27">
        <v>28026.3</v>
      </c>
      <c r="D17" s="26">
        <f t="shared" si="0"/>
        <v>66.72928571428571</v>
      </c>
      <c r="E17" s="50">
        <f t="shared" si="1"/>
        <v>-13973.7</v>
      </c>
    </row>
    <row r="18" spans="1:5" ht="17.25" customHeight="1">
      <c r="A18" s="43" t="s">
        <v>153</v>
      </c>
      <c r="B18" s="25">
        <v>0</v>
      </c>
      <c r="C18" s="27">
        <v>0</v>
      </c>
      <c r="D18" s="26" t="str">
        <f t="shared" si="0"/>
        <v>   </v>
      </c>
      <c r="E18" s="50">
        <f t="shared" si="1"/>
        <v>0</v>
      </c>
    </row>
    <row r="19" spans="1:5" ht="18.75" customHeight="1">
      <c r="A19" s="16" t="s">
        <v>109</v>
      </c>
      <c r="B19" s="194">
        <f>SUM(B20)</f>
        <v>0</v>
      </c>
      <c r="C19" s="194">
        <f>SUM(C20)</f>
        <v>529.11</v>
      </c>
      <c r="D19" s="26" t="str">
        <f t="shared" si="0"/>
        <v>   </v>
      </c>
      <c r="E19" s="50">
        <f t="shared" si="1"/>
        <v>529.11</v>
      </c>
    </row>
    <row r="20" spans="1:5" ht="22.5" customHeight="1">
      <c r="A20" s="16" t="s">
        <v>110</v>
      </c>
      <c r="B20" s="25">
        <v>0</v>
      </c>
      <c r="C20" s="33">
        <v>529.11</v>
      </c>
      <c r="D20" s="26" t="str">
        <f t="shared" si="0"/>
        <v>   </v>
      </c>
      <c r="E20" s="50">
        <f t="shared" si="1"/>
        <v>529.11</v>
      </c>
    </row>
    <row r="21" spans="1:5" ht="16.5" customHeight="1">
      <c r="A21" s="16" t="s">
        <v>44</v>
      </c>
      <c r="B21" s="194">
        <f>B22</f>
        <v>0</v>
      </c>
      <c r="C21" s="194">
        <f>C22</f>
        <v>1300</v>
      </c>
      <c r="D21" s="26" t="str">
        <f t="shared" si="0"/>
        <v>   </v>
      </c>
      <c r="E21" s="50">
        <f t="shared" si="1"/>
        <v>1300</v>
      </c>
    </row>
    <row r="22" spans="1:5" ht="13.5" customHeight="1">
      <c r="A22" s="16" t="s">
        <v>68</v>
      </c>
      <c r="B22" s="25">
        <v>0</v>
      </c>
      <c r="C22" s="27">
        <v>1300</v>
      </c>
      <c r="D22" s="26" t="str">
        <f t="shared" si="0"/>
        <v>   </v>
      </c>
      <c r="E22" s="50">
        <f t="shared" si="1"/>
        <v>1300</v>
      </c>
    </row>
    <row r="23" spans="1:5" ht="12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50">
        <f t="shared" si="1"/>
        <v>0</v>
      </c>
    </row>
    <row r="24" spans="1:5" ht="21" customHeight="1">
      <c r="A24" s="165" t="s">
        <v>11</v>
      </c>
      <c r="B24" s="143">
        <f>SUM(B7,B9,B11,B15,B18,B19,B21)</f>
        <v>507300</v>
      </c>
      <c r="C24" s="143">
        <f>SUM(C7,C9,C11,C14,C15,C19,C21,C18)</f>
        <v>118198.54000000001</v>
      </c>
      <c r="D24" s="167">
        <f t="shared" si="0"/>
        <v>23.299534792036273</v>
      </c>
      <c r="E24" s="168">
        <f t="shared" si="1"/>
        <v>-389101.45999999996</v>
      </c>
    </row>
    <row r="25" spans="1:5" ht="18" customHeight="1">
      <c r="A25" s="17" t="s">
        <v>46</v>
      </c>
      <c r="B25" s="24">
        <v>1345200</v>
      </c>
      <c r="C25" s="24">
        <v>645900</v>
      </c>
      <c r="D25" s="26">
        <f t="shared" si="0"/>
        <v>48.015165031222125</v>
      </c>
      <c r="E25" s="50">
        <f t="shared" si="1"/>
        <v>-699300</v>
      </c>
    </row>
    <row r="26" spans="1:5" ht="16.5" customHeight="1">
      <c r="A26" s="16" t="s">
        <v>65</v>
      </c>
      <c r="B26" s="25">
        <v>120000</v>
      </c>
      <c r="C26" s="27">
        <v>0</v>
      </c>
      <c r="D26" s="26">
        <f t="shared" si="0"/>
        <v>0</v>
      </c>
      <c r="E26" s="50">
        <f t="shared" si="1"/>
        <v>-120000</v>
      </c>
    </row>
    <row r="27" spans="1:5" ht="30.75" customHeight="1">
      <c r="A27" s="201" t="s">
        <v>69</v>
      </c>
      <c r="B27" s="202">
        <v>45900</v>
      </c>
      <c r="C27" s="206">
        <v>45900</v>
      </c>
      <c r="D27" s="203">
        <f t="shared" si="0"/>
        <v>100</v>
      </c>
      <c r="E27" s="204">
        <f t="shared" si="1"/>
        <v>0</v>
      </c>
    </row>
    <row r="28" spans="1:5" ht="27" customHeight="1">
      <c r="A28" s="205" t="s">
        <v>164</v>
      </c>
      <c r="B28" s="202">
        <v>100</v>
      </c>
      <c r="C28" s="202">
        <v>100</v>
      </c>
      <c r="D28" s="203">
        <f t="shared" si="0"/>
        <v>100</v>
      </c>
      <c r="E28" s="204">
        <f t="shared" si="1"/>
        <v>0</v>
      </c>
    </row>
    <row r="29" spans="1:5" ht="28.5" customHeight="1">
      <c r="A29" s="16" t="s">
        <v>200</v>
      </c>
      <c r="B29" s="25">
        <v>684400</v>
      </c>
      <c r="C29" s="27">
        <v>0</v>
      </c>
      <c r="D29" s="26">
        <f t="shared" si="0"/>
        <v>0</v>
      </c>
      <c r="E29" s="50">
        <f>C29-B29</f>
        <v>-684400</v>
      </c>
    </row>
    <row r="30" spans="1:5" ht="28.5" customHeight="1">
      <c r="A30" s="16" t="s">
        <v>120</v>
      </c>
      <c r="B30" s="25">
        <v>173300</v>
      </c>
      <c r="C30" s="27">
        <v>0</v>
      </c>
      <c r="D30" s="26">
        <f t="shared" si="0"/>
        <v>0</v>
      </c>
      <c r="E30" s="50">
        <f>C30-B30</f>
        <v>-173300</v>
      </c>
    </row>
    <row r="31" spans="1:5" ht="40.5" customHeight="1">
      <c r="A31" s="16" t="s">
        <v>113</v>
      </c>
      <c r="B31" s="25">
        <v>0</v>
      </c>
      <c r="C31" s="25">
        <v>0</v>
      </c>
      <c r="D31" s="26" t="str">
        <f t="shared" si="0"/>
        <v>   </v>
      </c>
      <c r="E31" s="50">
        <f t="shared" si="1"/>
        <v>0</v>
      </c>
    </row>
    <row r="32" spans="1:5" ht="24.75" customHeight="1">
      <c r="A32" s="201" t="s">
        <v>174</v>
      </c>
      <c r="B32" s="202">
        <v>3700</v>
      </c>
      <c r="C32" s="202">
        <v>3700</v>
      </c>
      <c r="D32" s="203">
        <f t="shared" si="0"/>
        <v>100</v>
      </c>
      <c r="E32" s="204">
        <f t="shared" si="1"/>
        <v>0</v>
      </c>
    </row>
    <row r="33" spans="1:5" ht="15" customHeight="1">
      <c r="A33" s="16" t="s">
        <v>112</v>
      </c>
      <c r="B33" s="195">
        <f>B34</f>
        <v>192000</v>
      </c>
      <c r="C33" s="195">
        <f>C34</f>
        <v>37200</v>
      </c>
      <c r="D33" s="26">
        <f t="shared" si="0"/>
        <v>19.375</v>
      </c>
      <c r="E33" s="50">
        <f t="shared" si="1"/>
        <v>-154800</v>
      </c>
    </row>
    <row r="34" spans="1:5" s="7" customFormat="1" ht="14.25" customHeight="1">
      <c r="A34" s="64" t="s">
        <v>211</v>
      </c>
      <c r="B34" s="65">
        <v>192000</v>
      </c>
      <c r="C34" s="65">
        <v>37200</v>
      </c>
      <c r="D34" s="65">
        <f t="shared" si="0"/>
        <v>19.375</v>
      </c>
      <c r="E34" s="44">
        <f t="shared" si="1"/>
        <v>-154800</v>
      </c>
    </row>
    <row r="35" spans="1:5" ht="16.5" customHeight="1">
      <c r="A35" s="16" t="s">
        <v>47</v>
      </c>
      <c r="B35" s="25">
        <v>0</v>
      </c>
      <c r="C35" s="27">
        <v>0</v>
      </c>
      <c r="D35" s="26" t="str">
        <f t="shared" si="0"/>
        <v>   </v>
      </c>
      <c r="E35" s="50">
        <f t="shared" si="1"/>
        <v>0</v>
      </c>
    </row>
    <row r="36" spans="1:5" ht="24.75" customHeight="1">
      <c r="A36" s="165" t="s">
        <v>14</v>
      </c>
      <c r="B36" s="169">
        <f>SUM(B24,B25,B26:B33,B35)</f>
        <v>3071900</v>
      </c>
      <c r="C36" s="169">
        <f>SUM(C24,C25,C26:C33,C35)</f>
        <v>850998.54</v>
      </c>
      <c r="D36" s="167">
        <f t="shared" si="0"/>
        <v>27.70267717048081</v>
      </c>
      <c r="E36" s="168">
        <f t="shared" si="1"/>
        <v>-2220901.46</v>
      </c>
    </row>
    <row r="37" spans="1:5" ht="12.75" customHeight="1">
      <c r="A37" s="22" t="s">
        <v>15</v>
      </c>
      <c r="B37" s="52"/>
      <c r="C37" s="53"/>
      <c r="D37" s="26" t="str">
        <f t="shared" si="0"/>
        <v>   </v>
      </c>
      <c r="E37" s="50">
        <f t="shared" si="1"/>
        <v>0</v>
      </c>
    </row>
    <row r="38" spans="1:5" ht="15" customHeight="1">
      <c r="A38" s="16" t="s">
        <v>48</v>
      </c>
      <c r="B38" s="25">
        <v>758300</v>
      </c>
      <c r="C38" s="25">
        <v>329326.19</v>
      </c>
      <c r="D38" s="26">
        <f t="shared" si="0"/>
        <v>43.429538441250166</v>
      </c>
      <c r="E38" s="50">
        <f t="shared" si="1"/>
        <v>-428973.81</v>
      </c>
    </row>
    <row r="39" spans="1:5" ht="15" customHeight="1">
      <c r="A39" s="16" t="s">
        <v>49</v>
      </c>
      <c r="B39" s="25">
        <v>757800</v>
      </c>
      <c r="C39" s="25">
        <v>329326.19</v>
      </c>
      <c r="D39" s="26">
        <f t="shared" si="0"/>
        <v>43.4581934547374</v>
      </c>
      <c r="E39" s="50">
        <f t="shared" si="1"/>
        <v>-428473.81</v>
      </c>
    </row>
    <row r="40" spans="1:5" ht="15" customHeight="1">
      <c r="A40" s="119" t="s">
        <v>259</v>
      </c>
      <c r="B40" s="25">
        <v>476900</v>
      </c>
      <c r="C40" s="28">
        <v>198580.58</v>
      </c>
      <c r="D40" s="26">
        <f t="shared" si="0"/>
        <v>41.63987838121199</v>
      </c>
      <c r="E40" s="50">
        <f t="shared" si="1"/>
        <v>-278319.42000000004</v>
      </c>
    </row>
    <row r="41" spans="1:5" ht="12.75">
      <c r="A41" s="16" t="s">
        <v>212</v>
      </c>
      <c r="B41" s="25">
        <v>100</v>
      </c>
      <c r="C41" s="28">
        <v>0</v>
      </c>
      <c r="D41" s="26">
        <f t="shared" si="0"/>
        <v>0</v>
      </c>
      <c r="E41" s="50">
        <f t="shared" si="1"/>
        <v>-100</v>
      </c>
    </row>
    <row r="42" spans="1:5" ht="12.75" customHeight="1">
      <c r="A42" s="16" t="s">
        <v>166</v>
      </c>
      <c r="B42" s="25">
        <v>500</v>
      </c>
      <c r="C42" s="27">
        <v>0</v>
      </c>
      <c r="D42" s="26">
        <f t="shared" si="0"/>
        <v>0</v>
      </c>
      <c r="E42" s="50">
        <f t="shared" si="1"/>
        <v>-500</v>
      </c>
    </row>
    <row r="43" spans="1:5" ht="15.75" customHeight="1">
      <c r="A43" s="16" t="s">
        <v>67</v>
      </c>
      <c r="B43" s="195">
        <f>SUM(B44)</f>
        <v>45900</v>
      </c>
      <c r="C43" s="195">
        <f>SUM(C44)</f>
        <v>25303.31</v>
      </c>
      <c r="D43" s="26">
        <f t="shared" si="0"/>
        <v>55.12703703703704</v>
      </c>
      <c r="E43" s="50">
        <f t="shared" si="1"/>
        <v>-20596.69</v>
      </c>
    </row>
    <row r="44" spans="1:5" ht="13.5" customHeight="1">
      <c r="A44" s="43" t="s">
        <v>207</v>
      </c>
      <c r="B44" s="25">
        <v>45900</v>
      </c>
      <c r="C44" s="27">
        <v>25303.31</v>
      </c>
      <c r="D44" s="26">
        <f t="shared" si="0"/>
        <v>55.12703703703704</v>
      </c>
      <c r="E44" s="50">
        <f t="shared" si="1"/>
        <v>-20596.69</v>
      </c>
    </row>
    <row r="45" spans="1:5" ht="18" customHeight="1">
      <c r="A45" s="16" t="s">
        <v>50</v>
      </c>
      <c r="B45" s="194">
        <f>SUM(B46)</f>
        <v>500</v>
      </c>
      <c r="C45" s="195">
        <f>SUM(C46)</f>
        <v>0</v>
      </c>
      <c r="D45" s="26">
        <f t="shared" si="0"/>
        <v>0</v>
      </c>
      <c r="E45" s="50">
        <f t="shared" si="1"/>
        <v>-500</v>
      </c>
    </row>
    <row r="46" spans="1:5" ht="26.25" customHeight="1">
      <c r="A46" s="48" t="s">
        <v>151</v>
      </c>
      <c r="B46" s="25">
        <v>500</v>
      </c>
      <c r="C46" s="27">
        <v>0</v>
      </c>
      <c r="D46" s="26">
        <f t="shared" si="0"/>
        <v>0</v>
      </c>
      <c r="E46" s="50">
        <f t="shared" si="1"/>
        <v>-500</v>
      </c>
    </row>
    <row r="47" spans="1:5" ht="12.75" customHeight="1">
      <c r="A47" s="16" t="s">
        <v>51</v>
      </c>
      <c r="B47" s="194">
        <f>SUM(B48:B48)</f>
        <v>0</v>
      </c>
      <c r="C47" s="194">
        <f>SUM(C48:C48)</f>
        <v>0</v>
      </c>
      <c r="D47" s="26" t="str">
        <f t="shared" si="0"/>
        <v>   </v>
      </c>
      <c r="E47" s="50">
        <f t="shared" si="1"/>
        <v>0</v>
      </c>
    </row>
    <row r="48" spans="1:5" ht="13.5" customHeight="1">
      <c r="A48" s="16" t="s">
        <v>52</v>
      </c>
      <c r="B48" s="25">
        <v>0</v>
      </c>
      <c r="C48" s="25">
        <v>0</v>
      </c>
      <c r="D48" s="26" t="str">
        <f t="shared" si="0"/>
        <v>   </v>
      </c>
      <c r="E48" s="50">
        <f t="shared" si="1"/>
        <v>0</v>
      </c>
    </row>
    <row r="49" spans="1:5" ht="15" customHeight="1">
      <c r="A49" s="16" t="s">
        <v>16</v>
      </c>
      <c r="B49" s="194">
        <f>B50</f>
        <v>499200</v>
      </c>
      <c r="C49" s="194">
        <f>C50</f>
        <v>161325.82</v>
      </c>
      <c r="D49" s="26">
        <f t="shared" si="0"/>
        <v>32.316870993589745</v>
      </c>
      <c r="E49" s="50">
        <f t="shared" si="1"/>
        <v>-337874.18</v>
      </c>
    </row>
    <row r="50" spans="1:5" ht="12.75" customHeight="1">
      <c r="A50" s="16" t="s">
        <v>170</v>
      </c>
      <c r="B50" s="25">
        <v>499200</v>
      </c>
      <c r="C50" s="25">
        <v>161325.82</v>
      </c>
      <c r="D50" s="26">
        <f t="shared" si="0"/>
        <v>32.316870993589745</v>
      </c>
      <c r="E50" s="50">
        <f t="shared" si="1"/>
        <v>-337874.18</v>
      </c>
    </row>
    <row r="51" spans="1:5" ht="12.75" customHeight="1">
      <c r="A51" s="16" t="s">
        <v>171</v>
      </c>
      <c r="B51" s="25">
        <v>130000</v>
      </c>
      <c r="C51" s="27">
        <v>86925.91</v>
      </c>
      <c r="D51" s="26">
        <f t="shared" si="0"/>
        <v>66.86608461538461</v>
      </c>
      <c r="E51" s="50">
        <f t="shared" si="1"/>
        <v>-43074.09</v>
      </c>
    </row>
    <row r="52" spans="1:5" ht="12.75" customHeight="1">
      <c r="A52" s="16" t="s">
        <v>132</v>
      </c>
      <c r="B52" s="25">
        <v>192000</v>
      </c>
      <c r="C52" s="27">
        <v>37200</v>
      </c>
      <c r="D52" s="26">
        <f t="shared" si="0"/>
        <v>19.375</v>
      </c>
      <c r="E52" s="50">
        <f t="shared" si="1"/>
        <v>-154800</v>
      </c>
    </row>
    <row r="53" spans="1:5" ht="12.75" customHeight="1">
      <c r="A53" s="16" t="s">
        <v>138</v>
      </c>
      <c r="B53" s="25">
        <v>157200</v>
      </c>
      <c r="C53" s="27">
        <v>37199.91</v>
      </c>
      <c r="D53" s="26">
        <f t="shared" si="0"/>
        <v>23.664064885496185</v>
      </c>
      <c r="E53" s="50">
        <f t="shared" si="1"/>
        <v>-120000.09</v>
      </c>
    </row>
    <row r="54" spans="1:5" ht="12.75" customHeight="1">
      <c r="A54" s="16" t="s">
        <v>87</v>
      </c>
      <c r="B54" s="25">
        <v>20000</v>
      </c>
      <c r="C54" s="27">
        <v>0</v>
      </c>
      <c r="D54" s="26">
        <f t="shared" si="0"/>
        <v>0</v>
      </c>
      <c r="E54" s="50">
        <f t="shared" si="1"/>
        <v>-20000</v>
      </c>
    </row>
    <row r="55" spans="1:5" ht="15" customHeight="1">
      <c r="A55" s="36" t="s">
        <v>24</v>
      </c>
      <c r="B55" s="31">
        <v>10000</v>
      </c>
      <c r="C55" s="31">
        <v>1630</v>
      </c>
      <c r="D55" s="26">
        <f t="shared" si="0"/>
        <v>16.3</v>
      </c>
      <c r="E55" s="50">
        <f t="shared" si="1"/>
        <v>-8370</v>
      </c>
    </row>
    <row r="56" spans="1:5" ht="15.75" customHeight="1">
      <c r="A56" s="16" t="s">
        <v>54</v>
      </c>
      <c r="B56" s="192">
        <f>B57</f>
        <v>844800</v>
      </c>
      <c r="C56" s="192">
        <f>C57</f>
        <v>350114.45</v>
      </c>
      <c r="D56" s="26">
        <f t="shared" si="0"/>
        <v>41.44347182765152</v>
      </c>
      <c r="E56" s="50">
        <f t="shared" si="1"/>
        <v>-494685.55</v>
      </c>
    </row>
    <row r="57" spans="1:5" ht="12.75" customHeight="1">
      <c r="A57" s="16" t="s">
        <v>55</v>
      </c>
      <c r="B57" s="25">
        <v>844800</v>
      </c>
      <c r="C57" s="27">
        <v>350114.45</v>
      </c>
      <c r="D57" s="26">
        <f t="shared" si="0"/>
        <v>41.44347182765152</v>
      </c>
      <c r="E57" s="50">
        <f t="shared" si="1"/>
        <v>-494685.55</v>
      </c>
    </row>
    <row r="58" spans="1:5" ht="14.25" customHeight="1">
      <c r="A58" s="119" t="s">
        <v>259</v>
      </c>
      <c r="B58" s="25">
        <v>375900</v>
      </c>
      <c r="C58" s="27">
        <v>196110.5</v>
      </c>
      <c r="D58" s="26">
        <f t="shared" si="0"/>
        <v>52.170923117850485</v>
      </c>
      <c r="E58" s="50">
        <f t="shared" si="1"/>
        <v>-179789.5</v>
      </c>
    </row>
    <row r="59" spans="1:5" ht="13.5" customHeight="1">
      <c r="A59" s="16" t="s">
        <v>208</v>
      </c>
      <c r="B59" s="25">
        <v>3700</v>
      </c>
      <c r="C59" s="27">
        <v>0</v>
      </c>
      <c r="D59" s="26">
        <f t="shared" si="0"/>
        <v>0</v>
      </c>
      <c r="E59" s="50">
        <f t="shared" si="1"/>
        <v>-3700</v>
      </c>
    </row>
    <row r="60" spans="1:5" ht="13.5" customHeight="1">
      <c r="A60" s="16" t="s">
        <v>266</v>
      </c>
      <c r="B60" s="194">
        <f>SUM(B61,)</f>
        <v>15000</v>
      </c>
      <c r="C60" s="194">
        <f>SUM(C61,)</f>
        <v>9000</v>
      </c>
      <c r="D60" s="26">
        <f t="shared" si="0"/>
        <v>60</v>
      </c>
      <c r="E60" s="50">
        <f t="shared" si="1"/>
        <v>-6000</v>
      </c>
    </row>
    <row r="61" spans="1:5" ht="13.5" customHeight="1">
      <c r="A61" s="16" t="s">
        <v>56</v>
      </c>
      <c r="B61" s="25">
        <v>15000</v>
      </c>
      <c r="C61" s="28">
        <v>9000</v>
      </c>
      <c r="D61" s="26">
        <f t="shared" si="0"/>
        <v>60</v>
      </c>
      <c r="E61" s="50">
        <f t="shared" si="1"/>
        <v>-6000</v>
      </c>
    </row>
    <row r="62" spans="1:5" ht="14.25" customHeight="1">
      <c r="A62" s="16" t="s">
        <v>18</v>
      </c>
      <c r="B62" s="194">
        <f>SUM(B63)</f>
        <v>945400</v>
      </c>
      <c r="C62" s="194">
        <f>SUM(C63)</f>
        <v>0</v>
      </c>
      <c r="D62" s="26">
        <f t="shared" si="0"/>
        <v>0</v>
      </c>
      <c r="E62" s="50">
        <f t="shared" si="1"/>
        <v>-945400</v>
      </c>
    </row>
    <row r="63" spans="1:5" ht="14.25" customHeight="1">
      <c r="A63" s="16" t="s">
        <v>276</v>
      </c>
      <c r="B63" s="194">
        <f>SUM(B64,B73,B80)</f>
        <v>945400</v>
      </c>
      <c r="C63" s="194">
        <f>SUM(C64,C73,C80)</f>
        <v>0</v>
      </c>
      <c r="D63" s="26">
        <f t="shared" si="0"/>
        <v>0</v>
      </c>
      <c r="E63" s="50">
        <f t="shared" si="1"/>
        <v>-945400</v>
      </c>
    </row>
    <row r="64" spans="1:5" ht="14.25" customHeight="1">
      <c r="A64" s="120" t="s">
        <v>274</v>
      </c>
      <c r="B64" s="199">
        <f>SUM(B65,B69)</f>
        <v>603400</v>
      </c>
      <c r="C64" s="199">
        <f>SUM(C65:C69)</f>
        <v>0</v>
      </c>
      <c r="D64" s="26">
        <f t="shared" si="0"/>
        <v>0</v>
      </c>
      <c r="E64" s="50">
        <f t="shared" si="1"/>
        <v>-603400</v>
      </c>
    </row>
    <row r="65" spans="1:5" ht="13.5" customHeight="1">
      <c r="A65" s="16" t="s">
        <v>279</v>
      </c>
      <c r="B65" s="194">
        <f>SUM(B66:B68)</f>
        <v>310900</v>
      </c>
      <c r="C65" s="195">
        <v>0</v>
      </c>
      <c r="D65" s="26">
        <f t="shared" si="0"/>
        <v>0</v>
      </c>
      <c r="E65" s="50">
        <f t="shared" si="1"/>
        <v>-310900</v>
      </c>
    </row>
    <row r="66" spans="1:5" ht="13.5" customHeight="1">
      <c r="A66" s="48" t="s">
        <v>287</v>
      </c>
      <c r="B66" s="25">
        <v>266500</v>
      </c>
      <c r="C66" s="27"/>
      <c r="D66" s="26">
        <f t="shared" si="0"/>
        <v>0</v>
      </c>
      <c r="E66" s="50">
        <f t="shared" si="1"/>
        <v>-266500</v>
      </c>
    </row>
    <row r="67" spans="1:5" ht="13.5" customHeight="1">
      <c r="A67" s="48" t="s">
        <v>288</v>
      </c>
      <c r="B67" s="25">
        <v>0</v>
      </c>
      <c r="C67" s="27"/>
      <c r="D67" s="26" t="str">
        <f t="shared" si="0"/>
        <v>   </v>
      </c>
      <c r="E67" s="50">
        <f t="shared" si="1"/>
        <v>0</v>
      </c>
    </row>
    <row r="68" spans="1:5" ht="13.5" customHeight="1">
      <c r="A68" s="48" t="s">
        <v>289</v>
      </c>
      <c r="B68" s="25">
        <v>44400</v>
      </c>
      <c r="C68" s="27"/>
      <c r="D68" s="26">
        <f t="shared" si="0"/>
        <v>0</v>
      </c>
      <c r="E68" s="50">
        <f t="shared" si="1"/>
        <v>-44400</v>
      </c>
    </row>
    <row r="69" spans="1:5" ht="24.75" customHeight="1">
      <c r="A69" s="16" t="s">
        <v>278</v>
      </c>
      <c r="B69" s="194">
        <f>SUM(B70:B72)</f>
        <v>292500</v>
      </c>
      <c r="C69" s="195">
        <v>0</v>
      </c>
      <c r="D69" s="26">
        <f t="shared" si="0"/>
        <v>0</v>
      </c>
      <c r="E69" s="50">
        <f t="shared" si="1"/>
        <v>-292500</v>
      </c>
    </row>
    <row r="70" spans="1:5" ht="24.75" customHeight="1">
      <c r="A70" s="48" t="s">
        <v>287</v>
      </c>
      <c r="B70" s="25">
        <v>292500</v>
      </c>
      <c r="C70" s="27"/>
      <c r="D70" s="26">
        <f t="shared" si="0"/>
        <v>0</v>
      </c>
      <c r="E70" s="50">
        <f t="shared" si="1"/>
        <v>-292500</v>
      </c>
    </row>
    <row r="71" spans="1:5" ht="24.75" customHeight="1">
      <c r="A71" s="48" t="s">
        <v>288</v>
      </c>
      <c r="C71" s="27"/>
      <c r="D71" s="26" t="str">
        <f aca="true" t="shared" si="2" ref="D71:D85">IF(B71=0,"   ",C71/B71*100)</f>
        <v>   </v>
      </c>
      <c r="E71" s="50">
        <f t="shared" si="1"/>
        <v>0</v>
      </c>
    </row>
    <row r="72" spans="1:5" ht="24.75" customHeight="1">
      <c r="A72" s="48" t="s">
        <v>289</v>
      </c>
      <c r="B72" s="25"/>
      <c r="C72" s="27"/>
      <c r="D72" s="26" t="str">
        <f t="shared" si="2"/>
        <v>   </v>
      </c>
      <c r="E72" s="50">
        <f t="shared" si="1"/>
        <v>0</v>
      </c>
    </row>
    <row r="73" spans="1:5" ht="13.5" customHeight="1">
      <c r="A73" s="120" t="s">
        <v>275</v>
      </c>
      <c r="B73" s="199">
        <f>SUM(B74,B77)</f>
        <v>125400</v>
      </c>
      <c r="C73" s="199">
        <f>SUM(C74:C77)</f>
        <v>0</v>
      </c>
      <c r="D73" s="26">
        <f t="shared" si="2"/>
        <v>0</v>
      </c>
      <c r="E73" s="50">
        <f t="shared" si="1"/>
        <v>-125400</v>
      </c>
    </row>
    <row r="74" spans="1:5" ht="15.75" customHeight="1">
      <c r="A74" s="16" t="s">
        <v>279</v>
      </c>
      <c r="B74" s="194">
        <f>SUM(B75:B76)</f>
        <v>75500</v>
      </c>
      <c r="C74" s="195"/>
      <c r="D74" s="26">
        <f t="shared" si="2"/>
        <v>0</v>
      </c>
      <c r="E74" s="50">
        <f t="shared" si="1"/>
        <v>-75500</v>
      </c>
    </row>
    <row r="75" spans="1:5" ht="15.75" customHeight="1">
      <c r="A75" s="48" t="s">
        <v>288</v>
      </c>
      <c r="B75" s="25">
        <v>75500</v>
      </c>
      <c r="C75" s="27"/>
      <c r="D75" s="26">
        <f t="shared" si="2"/>
        <v>0</v>
      </c>
      <c r="E75" s="50">
        <f t="shared" si="1"/>
        <v>-75500</v>
      </c>
    </row>
    <row r="76" spans="1:5" ht="15.75" customHeight="1">
      <c r="A76" s="48" t="s">
        <v>289</v>
      </c>
      <c r="B76" s="25"/>
      <c r="C76" s="27"/>
      <c r="D76" s="26" t="str">
        <f t="shared" si="2"/>
        <v>   </v>
      </c>
      <c r="E76" s="50">
        <f t="shared" si="1"/>
        <v>0</v>
      </c>
    </row>
    <row r="77" spans="1:5" ht="24.75" customHeight="1">
      <c r="A77" s="16" t="s">
        <v>278</v>
      </c>
      <c r="B77" s="194">
        <f>SUM(B78:B79)</f>
        <v>49900</v>
      </c>
      <c r="C77" s="195"/>
      <c r="D77" s="26">
        <f t="shared" si="2"/>
        <v>0</v>
      </c>
      <c r="E77" s="50">
        <f t="shared" si="1"/>
        <v>-49900</v>
      </c>
    </row>
    <row r="78" spans="1:5" ht="24.75" customHeight="1">
      <c r="A78" s="48" t="s">
        <v>288</v>
      </c>
      <c r="B78" s="25">
        <v>49900</v>
      </c>
      <c r="C78" s="27"/>
      <c r="D78" s="26">
        <f t="shared" si="2"/>
        <v>0</v>
      </c>
      <c r="E78" s="50">
        <f t="shared" si="1"/>
        <v>-49900</v>
      </c>
    </row>
    <row r="79" spans="1:5" ht="24.75" customHeight="1">
      <c r="A79" s="48" t="s">
        <v>289</v>
      </c>
      <c r="B79" s="25"/>
      <c r="C79" s="27"/>
      <c r="D79" s="26" t="str">
        <f t="shared" si="2"/>
        <v>   </v>
      </c>
      <c r="E79" s="50">
        <f t="shared" si="1"/>
        <v>0</v>
      </c>
    </row>
    <row r="80" spans="1:5" ht="13.5" customHeight="1">
      <c r="A80" s="120" t="s">
        <v>280</v>
      </c>
      <c r="B80" s="199">
        <f>SUM(B81:B83)</f>
        <v>216600</v>
      </c>
      <c r="C80" s="217"/>
      <c r="D80" s="26">
        <f t="shared" si="2"/>
        <v>0</v>
      </c>
      <c r="E80" s="50">
        <f t="shared" si="1"/>
        <v>-216600</v>
      </c>
    </row>
    <row r="81" spans="1:5" ht="13.5" customHeight="1">
      <c r="A81" s="48" t="s">
        <v>287</v>
      </c>
      <c r="B81" s="121"/>
      <c r="C81" s="122"/>
      <c r="D81" s="26" t="str">
        <f t="shared" si="2"/>
        <v>   </v>
      </c>
      <c r="E81" s="50">
        <f t="shared" si="1"/>
        <v>0</v>
      </c>
    </row>
    <row r="82" spans="1:5" ht="13.5" customHeight="1">
      <c r="A82" s="48" t="s">
        <v>288</v>
      </c>
      <c r="B82" s="121">
        <v>173300</v>
      </c>
      <c r="C82" s="122"/>
      <c r="D82" s="26">
        <f t="shared" si="2"/>
        <v>0</v>
      </c>
      <c r="E82" s="50">
        <f t="shared" si="1"/>
        <v>-173300</v>
      </c>
    </row>
    <row r="83" spans="1:5" ht="13.5" customHeight="1">
      <c r="A83" s="48" t="s">
        <v>289</v>
      </c>
      <c r="B83" s="121">
        <v>43300</v>
      </c>
      <c r="C83" s="122"/>
      <c r="D83" s="26">
        <f t="shared" si="2"/>
        <v>0</v>
      </c>
      <c r="E83" s="50">
        <f t="shared" si="1"/>
        <v>-43300</v>
      </c>
    </row>
    <row r="84" spans="1:5" ht="24.75" customHeight="1">
      <c r="A84" s="165" t="s">
        <v>19</v>
      </c>
      <c r="B84" s="169">
        <f>SUM(B38,B43,B45,B47,B49,B55,B56,B60,B62,)</f>
        <v>3119100</v>
      </c>
      <c r="C84" s="169">
        <f>SUM(C38,C43,C45,C47,C49,C55,C56,C60,C62,)</f>
        <v>876699.77</v>
      </c>
      <c r="D84" s="167">
        <f t="shared" si="2"/>
        <v>28.10745952358052</v>
      </c>
      <c r="E84" s="168">
        <f t="shared" si="1"/>
        <v>-2242400.23</v>
      </c>
    </row>
    <row r="85" spans="1:5" ht="13.5" customHeight="1" thickBot="1">
      <c r="A85" s="99" t="s">
        <v>262</v>
      </c>
      <c r="B85" s="213">
        <f>B40+B58</f>
        <v>852800</v>
      </c>
      <c r="C85" s="213">
        <f>C40+C58</f>
        <v>394691.07999999996</v>
      </c>
      <c r="D85" s="100">
        <f t="shared" si="2"/>
        <v>46.281787054409</v>
      </c>
      <c r="E85" s="101">
        <f t="shared" si="1"/>
        <v>-458108.92000000004</v>
      </c>
    </row>
    <row r="86" spans="1:5" ht="28.5" customHeight="1">
      <c r="A86" s="111" t="s">
        <v>317</v>
      </c>
      <c r="B86" s="111"/>
      <c r="C86" s="235"/>
      <c r="D86" s="235"/>
      <c r="E86" s="235"/>
    </row>
    <row r="87" spans="1:5" ht="12" customHeight="1">
      <c r="A87" s="111" t="s">
        <v>318</v>
      </c>
      <c r="B87" s="111"/>
      <c r="C87" s="112" t="s">
        <v>319</v>
      </c>
      <c r="D87" s="113"/>
      <c r="E87" s="114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</sheetData>
  <mergeCells count="2">
    <mergeCell ref="A1:E1"/>
    <mergeCell ref="C86:E86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="75" zoomScaleNormal="75" workbookViewId="0" topLeftCell="A53">
      <selection activeCell="A85" sqref="A85:E86"/>
    </sheetView>
  </sheetViews>
  <sheetFormatPr defaultColWidth="9.00390625" defaultRowHeight="12.75"/>
  <cols>
    <col min="1" max="1" width="95.625" style="0" customWidth="1"/>
    <col min="2" max="2" width="15.875" style="0" customWidth="1"/>
    <col min="3" max="3" width="16.875" style="0" customWidth="1"/>
    <col min="4" max="4" width="17.25390625" style="0" customWidth="1"/>
    <col min="5" max="5" width="16.25390625" style="0" customWidth="1"/>
  </cols>
  <sheetData>
    <row r="1" spans="1:5" ht="18">
      <c r="A1" s="237" t="s">
        <v>309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1.25" customHeight="1">
      <c r="A4" s="35" t="s">
        <v>1</v>
      </c>
      <c r="B4" s="19" t="s">
        <v>240</v>
      </c>
      <c r="C4" s="32" t="s">
        <v>303</v>
      </c>
      <c r="D4" s="19" t="s">
        <v>246</v>
      </c>
      <c r="E4" s="19" t="s">
        <v>247</v>
      </c>
    </row>
    <row r="5" spans="1:5" ht="12.75">
      <c r="A5" s="13">
        <v>1</v>
      </c>
      <c r="B5" s="98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2">
        <f>SUM(B8)</f>
        <v>131200</v>
      </c>
      <c r="C7" s="192">
        <f>SUM(C8)</f>
        <v>50668.15</v>
      </c>
      <c r="D7" s="26">
        <f aca="true" t="shared" si="0" ref="D7:D70">IF(B7=0,"   ",C7/B7*100)</f>
        <v>38.61901676829269</v>
      </c>
      <c r="E7" s="50">
        <f aca="true" t="shared" si="1" ref="E7:E84">C7-B7</f>
        <v>-80531.85</v>
      </c>
    </row>
    <row r="8" spans="1:5" ht="12.75">
      <c r="A8" s="16" t="s">
        <v>57</v>
      </c>
      <c r="B8" s="25">
        <v>131200</v>
      </c>
      <c r="C8" s="27">
        <v>50668.15</v>
      </c>
      <c r="D8" s="26">
        <f t="shared" si="0"/>
        <v>38.61901676829269</v>
      </c>
      <c r="E8" s="50">
        <f t="shared" si="1"/>
        <v>-80531.85</v>
      </c>
    </row>
    <row r="9" spans="1:5" ht="12.75">
      <c r="A9" s="16" t="s">
        <v>7</v>
      </c>
      <c r="B9" s="194">
        <f>SUM(B10:B10)</f>
        <v>4000</v>
      </c>
      <c r="C9" s="194">
        <f>SUM(C10:C10)</f>
        <v>12336.92</v>
      </c>
      <c r="D9" s="26">
        <f t="shared" si="0"/>
        <v>308.423</v>
      </c>
      <c r="E9" s="50">
        <f t="shared" si="1"/>
        <v>8336.92</v>
      </c>
    </row>
    <row r="10" spans="1:5" ht="12.75">
      <c r="A10" s="16" t="s">
        <v>38</v>
      </c>
      <c r="B10" s="25">
        <v>4000</v>
      </c>
      <c r="C10" s="27">
        <v>12336.92</v>
      </c>
      <c r="D10" s="26">
        <f t="shared" si="0"/>
        <v>308.423</v>
      </c>
      <c r="E10" s="50">
        <f t="shared" si="1"/>
        <v>8336.92</v>
      </c>
    </row>
    <row r="11" spans="1:5" ht="12.75">
      <c r="A11" s="16" t="s">
        <v>9</v>
      </c>
      <c r="B11" s="194">
        <f>SUM(B12:B13)</f>
        <v>369600</v>
      </c>
      <c r="C11" s="194">
        <f>SUM(C12:C13)</f>
        <v>44425.9</v>
      </c>
      <c r="D11" s="26">
        <f t="shared" si="0"/>
        <v>12.01999458874459</v>
      </c>
      <c r="E11" s="50">
        <f t="shared" si="1"/>
        <v>-325174.1</v>
      </c>
    </row>
    <row r="12" spans="1:5" ht="12.75">
      <c r="A12" s="16" t="s">
        <v>39</v>
      </c>
      <c r="B12" s="25">
        <v>176000</v>
      </c>
      <c r="C12" s="27">
        <v>13814.62</v>
      </c>
      <c r="D12" s="26">
        <f t="shared" si="0"/>
        <v>7.849215909090909</v>
      </c>
      <c r="E12" s="50">
        <f t="shared" si="1"/>
        <v>-162185.38</v>
      </c>
    </row>
    <row r="13" spans="1:5" ht="12.75">
      <c r="A13" s="16" t="s">
        <v>10</v>
      </c>
      <c r="B13" s="25">
        <v>193600</v>
      </c>
      <c r="C13" s="27">
        <v>30611.28</v>
      </c>
      <c r="D13" s="26">
        <f t="shared" si="0"/>
        <v>15.811611570247933</v>
      </c>
      <c r="E13" s="50">
        <f t="shared" si="1"/>
        <v>-162988.72</v>
      </c>
    </row>
    <row r="14" spans="1:5" ht="26.25" customHeight="1">
      <c r="A14" s="16" t="s">
        <v>148</v>
      </c>
      <c r="B14" s="25">
        <v>0</v>
      </c>
      <c r="C14" s="27">
        <v>0</v>
      </c>
      <c r="D14" s="26" t="str">
        <f t="shared" si="0"/>
        <v>   </v>
      </c>
      <c r="E14" s="50">
        <f t="shared" si="1"/>
        <v>0</v>
      </c>
    </row>
    <row r="15" spans="1:5" ht="27" customHeight="1">
      <c r="A15" s="16" t="s">
        <v>40</v>
      </c>
      <c r="B15" s="194">
        <v>152000</v>
      </c>
      <c r="C15" s="194">
        <f>SUM(C16:C17)</f>
        <v>19832.04</v>
      </c>
      <c r="D15" s="26">
        <f t="shared" si="0"/>
        <v>13.047394736842104</v>
      </c>
      <c r="E15" s="50">
        <f t="shared" si="1"/>
        <v>-132167.96</v>
      </c>
    </row>
    <row r="16" spans="1:5" ht="12.75">
      <c r="A16" s="16" t="s">
        <v>41</v>
      </c>
      <c r="B16" s="25">
        <v>152000</v>
      </c>
      <c r="C16" s="25">
        <v>17871.84</v>
      </c>
      <c r="D16" s="26">
        <f t="shared" si="0"/>
        <v>11.75778947368421</v>
      </c>
      <c r="E16" s="50">
        <f t="shared" si="1"/>
        <v>-134128.16</v>
      </c>
    </row>
    <row r="17" spans="1:5" ht="26.25" customHeight="1">
      <c r="A17" s="16" t="s">
        <v>42</v>
      </c>
      <c r="B17" s="25">
        <v>0</v>
      </c>
      <c r="C17" s="27">
        <v>1960.2</v>
      </c>
      <c r="D17" s="26" t="str">
        <f t="shared" si="0"/>
        <v>   </v>
      </c>
      <c r="E17" s="50">
        <f t="shared" si="1"/>
        <v>1960.2</v>
      </c>
    </row>
    <row r="18" spans="1:5" ht="19.5" customHeight="1">
      <c r="A18" s="16" t="s">
        <v>118</v>
      </c>
      <c r="B18" s="25">
        <v>0</v>
      </c>
      <c r="C18" s="27">
        <v>2578.62</v>
      </c>
      <c r="D18" s="26" t="str">
        <f t="shared" si="0"/>
        <v>   </v>
      </c>
      <c r="E18" s="50">
        <f t="shared" si="1"/>
        <v>2578.62</v>
      </c>
    </row>
    <row r="19" spans="1:5" ht="13.5" customHeight="1">
      <c r="A19" s="16" t="s">
        <v>109</v>
      </c>
      <c r="B19" s="194">
        <f>SUM(B20:B21)</f>
        <v>0</v>
      </c>
      <c r="C19" s="194">
        <f>SUM(C20:C21)</f>
        <v>13392.74</v>
      </c>
      <c r="D19" s="26" t="str">
        <f t="shared" si="0"/>
        <v>   </v>
      </c>
      <c r="E19" s="50">
        <f t="shared" si="1"/>
        <v>13392.74</v>
      </c>
    </row>
    <row r="20" spans="1:5" ht="13.5" customHeight="1">
      <c r="A20" s="16" t="s">
        <v>269</v>
      </c>
      <c r="B20" s="25">
        <v>0</v>
      </c>
      <c r="C20" s="25">
        <v>3500</v>
      </c>
      <c r="D20" s="26" t="str">
        <f t="shared" si="0"/>
        <v>   </v>
      </c>
      <c r="E20" s="50"/>
    </row>
    <row r="21" spans="1:5" ht="26.25" customHeight="1">
      <c r="A21" s="16" t="s">
        <v>110</v>
      </c>
      <c r="B21" s="25">
        <v>0</v>
      </c>
      <c r="C21" s="25">
        <v>9892.74</v>
      </c>
      <c r="D21" s="26" t="str">
        <f t="shared" si="0"/>
        <v>   </v>
      </c>
      <c r="E21" s="50">
        <f t="shared" si="1"/>
        <v>9892.74</v>
      </c>
    </row>
    <row r="22" spans="1:5" ht="12.75">
      <c r="A22" s="16" t="s">
        <v>44</v>
      </c>
      <c r="B22" s="194">
        <f>B23</f>
        <v>0</v>
      </c>
      <c r="C22" s="194">
        <f>C23</f>
        <v>4466.02</v>
      </c>
      <c r="D22" s="26" t="str">
        <f t="shared" si="0"/>
        <v>   </v>
      </c>
      <c r="E22" s="50">
        <f t="shared" si="1"/>
        <v>4466.02</v>
      </c>
    </row>
    <row r="23" spans="1:5" ht="12.75">
      <c r="A23" s="16" t="s">
        <v>68</v>
      </c>
      <c r="B23" s="25">
        <v>0</v>
      </c>
      <c r="C23" s="25">
        <v>4466.02</v>
      </c>
      <c r="D23" s="26" t="str">
        <f t="shared" si="0"/>
        <v>   </v>
      </c>
      <c r="E23" s="50">
        <f t="shared" si="1"/>
        <v>4466.02</v>
      </c>
    </row>
    <row r="24" spans="1:5" ht="16.5" customHeight="1">
      <c r="A24" s="16" t="s">
        <v>43</v>
      </c>
      <c r="B24" s="25">
        <v>0</v>
      </c>
      <c r="C24" s="24">
        <v>0</v>
      </c>
      <c r="D24" s="26" t="str">
        <f t="shared" si="0"/>
        <v>   </v>
      </c>
      <c r="E24" s="50">
        <f t="shared" si="1"/>
        <v>0</v>
      </c>
    </row>
    <row r="25" spans="1:5" ht="18" customHeight="1">
      <c r="A25" s="165" t="s">
        <v>11</v>
      </c>
      <c r="B25" s="218">
        <f>SUM(B7,B9,B11,B15,B18,B19,B22,B24,B14)</f>
        <v>656800</v>
      </c>
      <c r="C25" s="218">
        <f>SUM(C7,C9,C11,C15,C18,C19,C22,C24,C14)</f>
        <v>147700.38999999998</v>
      </c>
      <c r="D25" s="167">
        <f t="shared" si="0"/>
        <v>22.487879110840435</v>
      </c>
      <c r="E25" s="168">
        <f t="shared" si="1"/>
        <v>-509099.61</v>
      </c>
    </row>
    <row r="26" spans="1:5" ht="14.25" customHeight="1">
      <c r="A26" s="17" t="s">
        <v>46</v>
      </c>
      <c r="B26" s="24">
        <v>2481000</v>
      </c>
      <c r="C26" s="24">
        <v>1191200</v>
      </c>
      <c r="D26" s="26">
        <f t="shared" si="0"/>
        <v>48.01289802498992</v>
      </c>
      <c r="E26" s="50">
        <f t="shared" si="1"/>
        <v>-1289800</v>
      </c>
    </row>
    <row r="27" spans="1:5" ht="15.75" customHeight="1">
      <c r="A27" s="16" t="s">
        <v>65</v>
      </c>
      <c r="B27" s="25">
        <v>0</v>
      </c>
      <c r="C27" s="27">
        <v>0</v>
      </c>
      <c r="D27" s="26" t="str">
        <f t="shared" si="0"/>
        <v>   </v>
      </c>
      <c r="E27" s="50">
        <f t="shared" si="1"/>
        <v>0</v>
      </c>
    </row>
    <row r="28" spans="1:5" ht="27" customHeight="1">
      <c r="A28" s="201" t="s">
        <v>69</v>
      </c>
      <c r="B28" s="202">
        <v>114800</v>
      </c>
      <c r="C28" s="202">
        <v>114800</v>
      </c>
      <c r="D28" s="203">
        <f t="shared" si="0"/>
        <v>100</v>
      </c>
      <c r="E28" s="204">
        <f t="shared" si="1"/>
        <v>0</v>
      </c>
    </row>
    <row r="29" spans="1:5" ht="27" customHeight="1">
      <c r="A29" s="205" t="s">
        <v>164</v>
      </c>
      <c r="B29" s="202">
        <v>100</v>
      </c>
      <c r="C29" s="202">
        <v>100</v>
      </c>
      <c r="D29" s="203">
        <f t="shared" si="0"/>
        <v>100</v>
      </c>
      <c r="E29" s="204">
        <f t="shared" si="1"/>
        <v>0</v>
      </c>
    </row>
    <row r="30" spans="1:5" ht="26.25" customHeight="1">
      <c r="A30" s="16" t="s">
        <v>140</v>
      </c>
      <c r="B30" s="25">
        <v>191500</v>
      </c>
      <c r="C30" s="27">
        <v>0</v>
      </c>
      <c r="D30" s="26">
        <f t="shared" si="0"/>
        <v>0</v>
      </c>
      <c r="E30" s="50">
        <f t="shared" si="1"/>
        <v>-191500</v>
      </c>
    </row>
    <row r="31" spans="1:5" ht="18.75" customHeight="1">
      <c r="A31" s="16" t="s">
        <v>78</v>
      </c>
      <c r="B31" s="25">
        <v>0</v>
      </c>
      <c r="C31" s="27">
        <v>0</v>
      </c>
      <c r="D31" s="26" t="str">
        <f t="shared" si="0"/>
        <v>   </v>
      </c>
      <c r="E31" s="50">
        <f t="shared" si="1"/>
        <v>0</v>
      </c>
    </row>
    <row r="32" spans="1:5" ht="24.75" customHeight="1">
      <c r="A32" s="16" t="s">
        <v>200</v>
      </c>
      <c r="B32" s="25">
        <v>0</v>
      </c>
      <c r="C32" s="27">
        <v>0</v>
      </c>
      <c r="D32" s="26" t="str">
        <f t="shared" si="0"/>
        <v>   </v>
      </c>
      <c r="E32" s="50">
        <f t="shared" si="1"/>
        <v>0</v>
      </c>
    </row>
    <row r="33" spans="1:5" ht="26.25" customHeight="1">
      <c r="A33" s="201" t="s">
        <v>174</v>
      </c>
      <c r="B33" s="202">
        <v>7500</v>
      </c>
      <c r="C33" s="202">
        <v>7500</v>
      </c>
      <c r="D33" s="203">
        <f t="shared" si="0"/>
        <v>100</v>
      </c>
      <c r="E33" s="204">
        <f t="shared" si="1"/>
        <v>0</v>
      </c>
    </row>
    <row r="34" spans="1:5" ht="17.25" customHeight="1">
      <c r="A34" s="16" t="s">
        <v>76</v>
      </c>
      <c r="B34" s="194">
        <f>B35</f>
        <v>352000</v>
      </c>
      <c r="C34" s="194">
        <f>C35</f>
        <v>74554</v>
      </c>
      <c r="D34" s="26">
        <f t="shared" si="0"/>
        <v>21.180113636363636</v>
      </c>
      <c r="E34" s="50">
        <f t="shared" si="1"/>
        <v>-277446</v>
      </c>
    </row>
    <row r="35" spans="1:5" s="7" customFormat="1" ht="14.25" customHeight="1">
      <c r="A35" s="64" t="s">
        <v>211</v>
      </c>
      <c r="B35" s="65">
        <v>352000</v>
      </c>
      <c r="C35" s="25">
        <v>74554</v>
      </c>
      <c r="D35" s="65">
        <f t="shared" si="0"/>
        <v>21.180113636363636</v>
      </c>
      <c r="E35" s="44">
        <f t="shared" si="1"/>
        <v>-277446</v>
      </c>
    </row>
    <row r="36" spans="1:5" ht="42" customHeight="1">
      <c r="A36" s="16" t="s">
        <v>180</v>
      </c>
      <c r="B36" s="25">
        <v>0</v>
      </c>
      <c r="C36" s="25">
        <v>0</v>
      </c>
      <c r="D36" s="26" t="str">
        <f t="shared" si="0"/>
        <v>   </v>
      </c>
      <c r="E36" s="50">
        <f t="shared" si="1"/>
        <v>0</v>
      </c>
    </row>
    <row r="37" spans="1:5" ht="15.7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50">
        <f t="shared" si="1"/>
        <v>0</v>
      </c>
    </row>
    <row r="38" spans="1:5" ht="21.75" customHeight="1">
      <c r="A38" s="165" t="s">
        <v>14</v>
      </c>
      <c r="B38" s="169">
        <f>SUM(B25,B26,B27:B34,B36,B37)</f>
        <v>3803700</v>
      </c>
      <c r="C38" s="169">
        <f>SUM(C25,C26,C27:C34,C36,C37)</f>
        <v>1535854.39</v>
      </c>
      <c r="D38" s="167">
        <f t="shared" si="0"/>
        <v>40.3779054604727</v>
      </c>
      <c r="E38" s="168">
        <f t="shared" si="1"/>
        <v>-2267845.6100000003</v>
      </c>
    </row>
    <row r="39" spans="1:5" ht="20.25" customHeight="1">
      <c r="A39" s="30" t="s">
        <v>66</v>
      </c>
      <c r="B39" s="24"/>
      <c r="C39" s="25"/>
      <c r="D39" s="26" t="str">
        <f t="shared" si="0"/>
        <v>   </v>
      </c>
      <c r="E39" s="50">
        <f t="shared" si="1"/>
        <v>0</v>
      </c>
    </row>
    <row r="40" spans="1:5" ht="12.75">
      <c r="A40" s="22" t="s">
        <v>15</v>
      </c>
      <c r="B40" s="52"/>
      <c r="C40" s="53"/>
      <c r="D40" s="26" t="str">
        <f t="shared" si="0"/>
        <v>   </v>
      </c>
      <c r="E40" s="50">
        <f t="shared" si="1"/>
        <v>0</v>
      </c>
    </row>
    <row r="41" spans="1:5" ht="12.75">
      <c r="A41" s="16" t="s">
        <v>48</v>
      </c>
      <c r="B41" s="25">
        <v>758300</v>
      </c>
      <c r="C41" s="25">
        <v>313846.83</v>
      </c>
      <c r="D41" s="26">
        <f t="shared" si="0"/>
        <v>41.38821442700778</v>
      </c>
      <c r="E41" s="50">
        <f t="shared" si="1"/>
        <v>-444453.17</v>
      </c>
    </row>
    <row r="42" spans="1:5" ht="13.5" customHeight="1">
      <c r="A42" s="16" t="s">
        <v>49</v>
      </c>
      <c r="B42" s="25">
        <v>757800</v>
      </c>
      <c r="C42" s="25">
        <v>313846.83</v>
      </c>
      <c r="D42" s="26">
        <f t="shared" si="0"/>
        <v>41.415522565320664</v>
      </c>
      <c r="E42" s="50">
        <f t="shared" si="1"/>
        <v>-443953.17</v>
      </c>
    </row>
    <row r="43" spans="1:5" ht="12.75">
      <c r="A43" s="119" t="s">
        <v>259</v>
      </c>
      <c r="B43" s="25">
        <v>476900</v>
      </c>
      <c r="C43" s="28">
        <v>201522.45</v>
      </c>
      <c r="D43" s="26">
        <f t="shared" si="0"/>
        <v>42.256751939609984</v>
      </c>
      <c r="E43" s="50">
        <f t="shared" si="1"/>
        <v>-275377.55</v>
      </c>
    </row>
    <row r="44" spans="1:5" ht="12.75">
      <c r="A44" s="16" t="s">
        <v>212</v>
      </c>
      <c r="B44" s="25">
        <v>100</v>
      </c>
      <c r="C44" s="28">
        <v>0</v>
      </c>
      <c r="D44" s="26">
        <f t="shared" si="0"/>
        <v>0</v>
      </c>
      <c r="E44" s="50">
        <f t="shared" si="1"/>
        <v>-100</v>
      </c>
    </row>
    <row r="45" spans="1:5" ht="12.75">
      <c r="A45" s="16" t="s">
        <v>166</v>
      </c>
      <c r="B45" s="25">
        <v>500</v>
      </c>
      <c r="C45" s="27">
        <v>0</v>
      </c>
      <c r="D45" s="26">
        <f t="shared" si="0"/>
        <v>0</v>
      </c>
      <c r="E45" s="50">
        <f t="shared" si="1"/>
        <v>-500</v>
      </c>
    </row>
    <row r="46" spans="1:5" ht="12.75">
      <c r="A46" s="16" t="s">
        <v>67</v>
      </c>
      <c r="B46" s="195">
        <f>SUM(B47)</f>
        <v>114800</v>
      </c>
      <c r="C46" s="195">
        <f>SUM(C47)</f>
        <v>51920.13</v>
      </c>
      <c r="D46" s="26">
        <f t="shared" si="0"/>
        <v>45.226594076655054</v>
      </c>
      <c r="E46" s="50">
        <f t="shared" si="1"/>
        <v>-62879.87</v>
      </c>
    </row>
    <row r="47" spans="1:5" ht="13.5" customHeight="1">
      <c r="A47" s="43" t="s">
        <v>207</v>
      </c>
      <c r="B47" s="25">
        <v>114800</v>
      </c>
      <c r="C47" s="27">
        <v>51920.13</v>
      </c>
      <c r="D47" s="26">
        <f t="shared" si="0"/>
        <v>45.226594076655054</v>
      </c>
      <c r="E47" s="50">
        <f t="shared" si="1"/>
        <v>-62879.87</v>
      </c>
    </row>
    <row r="48" spans="1:5" ht="15" customHeight="1">
      <c r="A48" s="16" t="s">
        <v>50</v>
      </c>
      <c r="B48" s="194">
        <f>SUM(B49)</f>
        <v>900</v>
      </c>
      <c r="C48" s="194">
        <f>SUM(C49)</f>
        <v>0</v>
      </c>
      <c r="D48" s="26">
        <f t="shared" si="0"/>
        <v>0</v>
      </c>
      <c r="E48" s="50">
        <f t="shared" si="1"/>
        <v>-900</v>
      </c>
    </row>
    <row r="49" spans="1:5" ht="22.5" customHeight="1">
      <c r="A49" s="48" t="s">
        <v>151</v>
      </c>
      <c r="B49" s="25">
        <v>900</v>
      </c>
      <c r="C49" s="27">
        <v>0</v>
      </c>
      <c r="D49" s="26">
        <f t="shared" si="0"/>
        <v>0</v>
      </c>
      <c r="E49" s="50">
        <f t="shared" si="1"/>
        <v>-900</v>
      </c>
    </row>
    <row r="50" spans="1:5" ht="12.75">
      <c r="A50" s="16" t="s">
        <v>51</v>
      </c>
      <c r="B50" s="194">
        <f>SUM(B51)</f>
        <v>0</v>
      </c>
      <c r="C50" s="194">
        <f>SUM(C51)</f>
        <v>0</v>
      </c>
      <c r="D50" s="26" t="str">
        <f t="shared" si="0"/>
        <v>   </v>
      </c>
      <c r="E50" s="50">
        <f t="shared" si="1"/>
        <v>0</v>
      </c>
    </row>
    <row r="51" spans="1:5" ht="15.75" customHeight="1">
      <c r="A51" s="16" t="s">
        <v>61</v>
      </c>
      <c r="B51" s="194">
        <f>SUM(B52)</f>
        <v>0</v>
      </c>
      <c r="C51" s="194">
        <f>SUM(C52)</f>
        <v>0</v>
      </c>
      <c r="D51" s="26" t="str">
        <f t="shared" si="0"/>
        <v>   </v>
      </c>
      <c r="E51" s="50">
        <f t="shared" si="1"/>
        <v>0</v>
      </c>
    </row>
    <row r="52" spans="1:5" ht="12.75">
      <c r="A52" s="16" t="s">
        <v>74</v>
      </c>
      <c r="B52" s="25">
        <v>0</v>
      </c>
      <c r="C52" s="25">
        <v>0</v>
      </c>
      <c r="D52" s="26" t="str">
        <f t="shared" si="0"/>
        <v>   </v>
      </c>
      <c r="E52" s="50">
        <f t="shared" si="1"/>
        <v>0</v>
      </c>
    </row>
    <row r="53" spans="1:5" ht="15.75" customHeight="1">
      <c r="A53" s="16" t="s">
        <v>16</v>
      </c>
      <c r="B53" s="194">
        <f>SUM(B55,B54)</f>
        <v>887000</v>
      </c>
      <c r="C53" s="194">
        <f>SUM(C55,C54)</f>
        <v>413968.24</v>
      </c>
      <c r="D53" s="26">
        <f t="shared" si="0"/>
        <v>46.670602029312285</v>
      </c>
      <c r="E53" s="50">
        <f t="shared" si="1"/>
        <v>-473031.76</v>
      </c>
    </row>
    <row r="54" spans="1:5" ht="15.75" customHeight="1">
      <c r="A54" s="16" t="s">
        <v>152</v>
      </c>
      <c r="B54" s="25">
        <v>0</v>
      </c>
      <c r="C54" s="25">
        <v>0</v>
      </c>
      <c r="D54" s="26" t="str">
        <f t="shared" si="0"/>
        <v>   </v>
      </c>
      <c r="E54" s="50">
        <f t="shared" si="1"/>
        <v>0</v>
      </c>
    </row>
    <row r="55" spans="1:5" ht="12.75">
      <c r="A55" s="16" t="s">
        <v>84</v>
      </c>
      <c r="B55" s="25">
        <v>887000</v>
      </c>
      <c r="C55" s="25">
        <v>413968.24</v>
      </c>
      <c r="D55" s="26">
        <f t="shared" si="0"/>
        <v>46.670602029312285</v>
      </c>
      <c r="E55" s="50">
        <f t="shared" si="1"/>
        <v>-473031.76</v>
      </c>
    </row>
    <row r="56" spans="1:5" ht="12.75">
      <c r="A56" s="16" t="s">
        <v>82</v>
      </c>
      <c r="B56" s="25">
        <v>305000</v>
      </c>
      <c r="C56" s="27">
        <v>255000</v>
      </c>
      <c r="D56" s="26">
        <f t="shared" si="0"/>
        <v>83.60655737704919</v>
      </c>
      <c r="E56" s="50">
        <f t="shared" si="1"/>
        <v>-50000</v>
      </c>
    </row>
    <row r="57" spans="1:5" ht="12.75">
      <c r="A57" s="16" t="s">
        <v>130</v>
      </c>
      <c r="B57" s="25">
        <v>352000</v>
      </c>
      <c r="C57" s="27">
        <v>74483</v>
      </c>
      <c r="D57" s="26">
        <f t="shared" si="0"/>
        <v>21.159943181818182</v>
      </c>
      <c r="E57" s="50">
        <f t="shared" si="1"/>
        <v>-277517</v>
      </c>
    </row>
    <row r="58" spans="1:5" ht="12.75">
      <c r="A58" s="16" t="s">
        <v>131</v>
      </c>
      <c r="B58" s="25">
        <v>200000</v>
      </c>
      <c r="C58" s="27">
        <v>74485.24</v>
      </c>
      <c r="D58" s="26">
        <f t="shared" si="0"/>
        <v>37.24262</v>
      </c>
      <c r="E58" s="50">
        <f t="shared" si="1"/>
        <v>-125514.76</v>
      </c>
    </row>
    <row r="59" spans="1:5" ht="12.75">
      <c r="A59" s="16" t="s">
        <v>145</v>
      </c>
      <c r="B59" s="25">
        <v>0</v>
      </c>
      <c r="C59" s="27">
        <v>0</v>
      </c>
      <c r="D59" s="26" t="str">
        <f t="shared" si="0"/>
        <v>   </v>
      </c>
      <c r="E59" s="50">
        <f t="shared" si="1"/>
        <v>0</v>
      </c>
    </row>
    <row r="60" spans="1:5" ht="12.75">
      <c r="A60" s="16" t="s">
        <v>85</v>
      </c>
      <c r="B60" s="25">
        <v>30000</v>
      </c>
      <c r="C60" s="27">
        <v>10000</v>
      </c>
      <c r="D60" s="26">
        <f t="shared" si="0"/>
        <v>33.33333333333333</v>
      </c>
      <c r="E60" s="50">
        <f t="shared" si="1"/>
        <v>-20000</v>
      </c>
    </row>
    <row r="61" spans="1:5" ht="18" customHeight="1">
      <c r="A61" s="18" t="s">
        <v>24</v>
      </c>
      <c r="B61" s="31">
        <v>10000</v>
      </c>
      <c r="C61" s="31">
        <v>910</v>
      </c>
      <c r="D61" s="26">
        <f t="shared" si="0"/>
        <v>9.1</v>
      </c>
      <c r="E61" s="50">
        <f t="shared" si="1"/>
        <v>-9090</v>
      </c>
    </row>
    <row r="62" spans="1:5" ht="15" customHeight="1">
      <c r="A62" s="16" t="s">
        <v>54</v>
      </c>
      <c r="B62" s="192">
        <f>B63</f>
        <v>1923700</v>
      </c>
      <c r="C62" s="192">
        <f>C63</f>
        <v>882268.44</v>
      </c>
      <c r="D62" s="26">
        <f t="shared" si="0"/>
        <v>45.863099235847585</v>
      </c>
      <c r="E62" s="50">
        <f t="shared" si="1"/>
        <v>-1041431.56</v>
      </c>
    </row>
    <row r="63" spans="1:5" ht="12.75">
      <c r="A63" s="16" t="s">
        <v>55</v>
      </c>
      <c r="B63" s="25">
        <v>1923700</v>
      </c>
      <c r="C63" s="27">
        <v>882268.44</v>
      </c>
      <c r="D63" s="26">
        <f t="shared" si="0"/>
        <v>45.863099235847585</v>
      </c>
      <c r="E63" s="50">
        <f t="shared" si="1"/>
        <v>-1041431.56</v>
      </c>
    </row>
    <row r="64" spans="1:5" ht="12.75">
      <c r="A64" s="119" t="s">
        <v>260</v>
      </c>
      <c r="B64" s="25">
        <v>1043450</v>
      </c>
      <c r="C64" s="27">
        <v>450772.18</v>
      </c>
      <c r="D64" s="26">
        <f t="shared" si="0"/>
        <v>43.20017058795342</v>
      </c>
      <c r="E64" s="50">
        <f t="shared" si="1"/>
        <v>-592677.8200000001</v>
      </c>
    </row>
    <row r="65" spans="1:5" ht="12.75">
      <c r="A65" s="16" t="s">
        <v>208</v>
      </c>
      <c r="B65" s="25">
        <v>7500</v>
      </c>
      <c r="C65" s="27">
        <v>0</v>
      </c>
      <c r="D65" s="26">
        <f t="shared" si="0"/>
        <v>0</v>
      </c>
      <c r="E65" s="50">
        <f t="shared" si="1"/>
        <v>-7500</v>
      </c>
    </row>
    <row r="66" spans="1:5" ht="12.75">
      <c r="A66" s="16" t="s">
        <v>266</v>
      </c>
      <c r="B66" s="194">
        <f>SUM(B67,)</f>
        <v>20000</v>
      </c>
      <c r="C66" s="194">
        <f>SUM(C67,)</f>
        <v>0</v>
      </c>
      <c r="D66" s="26">
        <f t="shared" si="0"/>
        <v>0</v>
      </c>
      <c r="E66" s="50">
        <f t="shared" si="1"/>
        <v>-20000</v>
      </c>
    </row>
    <row r="67" spans="1:5" ht="12.75">
      <c r="A67" s="16" t="s">
        <v>56</v>
      </c>
      <c r="B67" s="25">
        <v>20000</v>
      </c>
      <c r="C67" s="28">
        <v>0</v>
      </c>
      <c r="D67" s="26">
        <f t="shared" si="0"/>
        <v>0</v>
      </c>
      <c r="E67" s="50">
        <f t="shared" si="1"/>
        <v>-20000</v>
      </c>
    </row>
    <row r="68" spans="1:5" ht="12.75">
      <c r="A68" s="16" t="s">
        <v>18</v>
      </c>
      <c r="B68" s="194">
        <f>B69</f>
        <v>352900</v>
      </c>
      <c r="C68" s="194">
        <f>C69</f>
        <v>0</v>
      </c>
      <c r="D68" s="26">
        <f t="shared" si="0"/>
        <v>0</v>
      </c>
      <c r="E68" s="50">
        <f t="shared" si="1"/>
        <v>-352900</v>
      </c>
    </row>
    <row r="69" spans="1:5" ht="14.25" customHeight="1">
      <c r="A69" s="16" t="s">
        <v>273</v>
      </c>
      <c r="B69" s="194">
        <f>SUM(B79,B70)</f>
        <v>352900</v>
      </c>
      <c r="C69" s="194">
        <f>SUM(C79,C70)</f>
        <v>0</v>
      </c>
      <c r="D69" s="26">
        <f t="shared" si="0"/>
        <v>0</v>
      </c>
      <c r="E69" s="50">
        <f t="shared" si="1"/>
        <v>-352900</v>
      </c>
    </row>
    <row r="70" spans="1:5" ht="18" customHeight="1">
      <c r="A70" s="120" t="s">
        <v>274</v>
      </c>
      <c r="B70" s="199">
        <f>SUM(B71,B75)</f>
        <v>113500</v>
      </c>
      <c r="C70" s="199">
        <f>SUM(C71,C75)</f>
        <v>0</v>
      </c>
      <c r="D70" s="26">
        <f t="shared" si="0"/>
        <v>0</v>
      </c>
      <c r="E70" s="50">
        <f t="shared" si="1"/>
        <v>-113500</v>
      </c>
    </row>
    <row r="71" spans="1:5" ht="17.25" customHeight="1">
      <c r="A71" s="16" t="s">
        <v>279</v>
      </c>
      <c r="B71" s="194">
        <f>SUM(B72:B74)</f>
        <v>113500</v>
      </c>
      <c r="C71" s="194">
        <f>SUM(C72:C74)</f>
        <v>0</v>
      </c>
      <c r="D71" s="26">
        <f aca="true" t="shared" si="2" ref="D71:D84">IF(B71=0,"   ",C71/B71*100)</f>
        <v>0</v>
      </c>
      <c r="E71" s="50">
        <f t="shared" si="1"/>
        <v>-113500</v>
      </c>
    </row>
    <row r="72" spans="1:5" ht="17.25" customHeight="1">
      <c r="A72" s="48" t="s">
        <v>287</v>
      </c>
      <c r="B72" s="25"/>
      <c r="C72" s="27"/>
      <c r="D72" s="26" t="str">
        <f t="shared" si="2"/>
        <v>   </v>
      </c>
      <c r="E72" s="50">
        <f t="shared" si="1"/>
        <v>0</v>
      </c>
    </row>
    <row r="73" spans="1:5" ht="17.25" customHeight="1">
      <c r="A73" s="48" t="s">
        <v>288</v>
      </c>
      <c r="B73" s="25">
        <v>0</v>
      </c>
      <c r="C73" s="27"/>
      <c r="D73" s="26" t="str">
        <f t="shared" si="2"/>
        <v>   </v>
      </c>
      <c r="E73" s="50">
        <f t="shared" si="1"/>
        <v>0</v>
      </c>
    </row>
    <row r="74" spans="1:5" ht="17.25" customHeight="1">
      <c r="A74" s="48" t="s">
        <v>289</v>
      </c>
      <c r="B74" s="25">
        <v>113500</v>
      </c>
      <c r="C74" s="27"/>
      <c r="D74" s="26">
        <f t="shared" si="2"/>
        <v>0</v>
      </c>
      <c r="E74" s="50">
        <f t="shared" si="1"/>
        <v>-113500</v>
      </c>
    </row>
    <row r="75" spans="1:5" ht="26.25" customHeight="1">
      <c r="A75" s="16" t="s">
        <v>278</v>
      </c>
      <c r="B75" s="194">
        <f>SUM(B76:B78)</f>
        <v>0</v>
      </c>
      <c r="C75" s="194">
        <f>SUM(C76:C78)</f>
        <v>0</v>
      </c>
      <c r="D75" s="26" t="str">
        <f t="shared" si="2"/>
        <v>   </v>
      </c>
      <c r="E75" s="50">
        <f t="shared" si="1"/>
        <v>0</v>
      </c>
    </row>
    <row r="76" spans="1:5" ht="13.5" customHeight="1">
      <c r="A76" s="48" t="s">
        <v>287</v>
      </c>
      <c r="B76" s="25"/>
      <c r="C76" s="27"/>
      <c r="D76" s="26" t="str">
        <f t="shared" si="2"/>
        <v>   </v>
      </c>
      <c r="E76" s="50">
        <f t="shared" si="1"/>
        <v>0</v>
      </c>
    </row>
    <row r="77" spans="1:5" ht="13.5" customHeight="1">
      <c r="A77" s="48" t="s">
        <v>288</v>
      </c>
      <c r="B77" s="25"/>
      <c r="C77" s="27"/>
      <c r="D77" s="26" t="str">
        <f t="shared" si="2"/>
        <v>   </v>
      </c>
      <c r="E77" s="50">
        <f t="shared" si="1"/>
        <v>0</v>
      </c>
    </row>
    <row r="78" spans="1:5" ht="13.5" customHeight="1">
      <c r="A78" s="48" t="s">
        <v>289</v>
      </c>
      <c r="B78" s="25"/>
      <c r="C78" s="27"/>
      <c r="D78" s="26" t="str">
        <f t="shared" si="2"/>
        <v>   </v>
      </c>
      <c r="E78" s="50">
        <f t="shared" si="1"/>
        <v>0</v>
      </c>
    </row>
    <row r="79" spans="1:5" ht="17.25" customHeight="1">
      <c r="A79" s="120" t="s">
        <v>280</v>
      </c>
      <c r="B79" s="199">
        <f>SUM(B80:B82)</f>
        <v>239400</v>
      </c>
      <c r="C79" s="199">
        <f>SUM(C80:C82)</f>
        <v>0</v>
      </c>
      <c r="D79" s="26">
        <f t="shared" si="2"/>
        <v>0</v>
      </c>
      <c r="E79" s="50">
        <f t="shared" si="1"/>
        <v>-239400</v>
      </c>
    </row>
    <row r="80" spans="1:5" ht="12" customHeight="1">
      <c r="A80" s="48" t="s">
        <v>287</v>
      </c>
      <c r="B80" s="121"/>
      <c r="C80" s="122"/>
      <c r="D80" s="26" t="str">
        <f t="shared" si="2"/>
        <v>   </v>
      </c>
      <c r="E80" s="50">
        <f t="shared" si="1"/>
        <v>0</v>
      </c>
    </row>
    <row r="81" spans="1:5" ht="11.25" customHeight="1">
      <c r="A81" s="48" t="s">
        <v>288</v>
      </c>
      <c r="B81" s="121">
        <v>191500</v>
      </c>
      <c r="C81" s="122"/>
      <c r="D81" s="26">
        <f t="shared" si="2"/>
        <v>0</v>
      </c>
      <c r="E81" s="50">
        <f t="shared" si="1"/>
        <v>-191500</v>
      </c>
    </row>
    <row r="82" spans="1:5" ht="11.25" customHeight="1">
      <c r="A82" s="48" t="s">
        <v>289</v>
      </c>
      <c r="B82" s="121">
        <v>47900</v>
      </c>
      <c r="C82" s="122"/>
      <c r="D82" s="26">
        <f t="shared" si="2"/>
        <v>0</v>
      </c>
      <c r="E82" s="50">
        <f t="shared" si="1"/>
        <v>-47900</v>
      </c>
    </row>
    <row r="83" spans="1:5" ht="18" customHeight="1">
      <c r="A83" s="165" t="s">
        <v>19</v>
      </c>
      <c r="B83" s="169">
        <f>SUM(B41,B46,B48,B50,B53,B61,B62,B66,B68,)</f>
        <v>4067600</v>
      </c>
      <c r="C83" s="169">
        <f>SUM(C41,C46,C48,C50,C53,C61,C62,C66,C68,)</f>
        <v>1662913.64</v>
      </c>
      <c r="D83" s="167">
        <f t="shared" si="2"/>
        <v>40.88193627692005</v>
      </c>
      <c r="E83" s="168">
        <f t="shared" si="1"/>
        <v>-2404686.3600000003</v>
      </c>
    </row>
    <row r="84" spans="1:5" ht="16.5" customHeight="1" thickBot="1">
      <c r="A84" s="99" t="s">
        <v>262</v>
      </c>
      <c r="B84" s="213">
        <f>B43+B64</f>
        <v>1520350</v>
      </c>
      <c r="C84" s="213">
        <f>C43+C64</f>
        <v>652294.63</v>
      </c>
      <c r="D84" s="100">
        <f t="shared" si="2"/>
        <v>42.904241128687474</v>
      </c>
      <c r="E84" s="101">
        <f t="shared" si="1"/>
        <v>-868055.37</v>
      </c>
    </row>
    <row r="85" spans="1:5" ht="45" customHeight="1">
      <c r="A85" s="111" t="s">
        <v>317</v>
      </c>
      <c r="B85" s="111"/>
      <c r="C85" s="235"/>
      <c r="D85" s="235"/>
      <c r="E85" s="235"/>
    </row>
    <row r="86" spans="1:5" ht="13.5" customHeight="1">
      <c r="A86" s="111" t="s">
        <v>318</v>
      </c>
      <c r="B86" s="111"/>
      <c r="C86" s="112" t="s">
        <v>319</v>
      </c>
      <c r="D86" s="113"/>
      <c r="E86" s="114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</sheetData>
  <mergeCells count="2">
    <mergeCell ref="A1:E1"/>
    <mergeCell ref="C85:E85"/>
  </mergeCells>
  <printOptions/>
  <pageMargins left="0.75" right="0.75" top="0.48" bottom="0.46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1"/>
  <sheetViews>
    <sheetView zoomScale="75" zoomScaleNormal="75" workbookViewId="0" topLeftCell="A60">
      <selection activeCell="A76" sqref="A76:E77"/>
    </sheetView>
  </sheetViews>
  <sheetFormatPr defaultColWidth="9.00390625" defaultRowHeight="12.75"/>
  <cols>
    <col min="1" max="1" width="89.25390625" style="0" customWidth="1"/>
    <col min="2" max="2" width="18.625" style="0" customWidth="1"/>
    <col min="3" max="3" width="19.25390625" style="0" customWidth="1"/>
    <col min="4" max="4" width="18.25390625" style="0" customWidth="1"/>
    <col min="5" max="5" width="19.125" style="0" customWidth="1"/>
  </cols>
  <sheetData>
    <row r="1" spans="1:5" ht="18">
      <c r="A1" s="237" t="s">
        <v>308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3">
      <c r="A4" s="35" t="s">
        <v>1</v>
      </c>
      <c r="B4" s="19" t="s">
        <v>240</v>
      </c>
      <c r="C4" s="32" t="s">
        <v>303</v>
      </c>
      <c r="D4" s="19" t="s">
        <v>248</v>
      </c>
      <c r="E4" s="19" t="s">
        <v>249</v>
      </c>
    </row>
    <row r="5" spans="1:5" ht="12.75">
      <c r="A5" s="13">
        <v>1</v>
      </c>
      <c r="B5" s="98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2">
        <f>SUM(B8)</f>
        <v>84400</v>
      </c>
      <c r="C7" s="192">
        <f>C8</f>
        <v>33592.57</v>
      </c>
      <c r="D7" s="26">
        <f aca="true" t="shared" si="0" ref="D7:D70">IF(B7=0,"   ",C7/B7*100)</f>
        <v>39.801623222748816</v>
      </c>
      <c r="E7" s="50">
        <f aca="true" t="shared" si="1" ref="E7:E75">C7-B7</f>
        <v>-50807.43</v>
      </c>
    </row>
    <row r="8" spans="1:5" ht="12.75">
      <c r="A8" s="16" t="s">
        <v>57</v>
      </c>
      <c r="B8" s="25">
        <v>84400</v>
      </c>
      <c r="C8" s="27">
        <v>33592.57</v>
      </c>
      <c r="D8" s="26">
        <f t="shared" si="0"/>
        <v>39.801623222748816</v>
      </c>
      <c r="E8" s="50">
        <f t="shared" si="1"/>
        <v>-50807.43</v>
      </c>
    </row>
    <row r="9" spans="1:5" ht="13.5" customHeight="1">
      <c r="A9" s="16" t="s">
        <v>7</v>
      </c>
      <c r="B9" s="194">
        <f>SUM(B10:B10)</f>
        <v>71100</v>
      </c>
      <c r="C9" s="194">
        <f>SUM(C10:C10)</f>
        <v>9870</v>
      </c>
      <c r="D9" s="26">
        <f t="shared" si="0"/>
        <v>13.881856540084389</v>
      </c>
      <c r="E9" s="50">
        <f t="shared" si="1"/>
        <v>-61230</v>
      </c>
    </row>
    <row r="10" spans="1:5" ht="13.5" customHeight="1">
      <c r="A10" s="16" t="s">
        <v>38</v>
      </c>
      <c r="B10" s="25">
        <v>71100</v>
      </c>
      <c r="C10" s="27">
        <v>9870</v>
      </c>
      <c r="D10" s="26">
        <f t="shared" si="0"/>
        <v>13.881856540084389</v>
      </c>
      <c r="E10" s="50">
        <f t="shared" si="1"/>
        <v>-61230</v>
      </c>
    </row>
    <row r="11" spans="1:5" ht="12.75">
      <c r="A11" s="16" t="s">
        <v>9</v>
      </c>
      <c r="B11" s="194">
        <f>SUM(B12:B13)</f>
        <v>115600</v>
      </c>
      <c r="C11" s="194">
        <f>SUM(C12:C13)</f>
        <v>17884.32</v>
      </c>
      <c r="D11" s="26">
        <f t="shared" si="0"/>
        <v>15.470865051903113</v>
      </c>
      <c r="E11" s="50">
        <f t="shared" si="1"/>
        <v>-97715.68</v>
      </c>
    </row>
    <row r="12" spans="1:5" ht="13.5" customHeight="1">
      <c r="A12" s="16" t="s">
        <v>39</v>
      </c>
      <c r="B12" s="25">
        <v>55400</v>
      </c>
      <c r="C12" s="27">
        <v>6563.61</v>
      </c>
      <c r="D12" s="26">
        <f t="shared" si="0"/>
        <v>11.847671480144403</v>
      </c>
      <c r="E12" s="50">
        <f t="shared" si="1"/>
        <v>-48836.39</v>
      </c>
    </row>
    <row r="13" spans="1:5" ht="12.75">
      <c r="A13" s="16" t="s">
        <v>10</v>
      </c>
      <c r="B13" s="25">
        <v>60200</v>
      </c>
      <c r="C13" s="27">
        <v>11320.71</v>
      </c>
      <c r="D13" s="26">
        <f t="shared" si="0"/>
        <v>18.805166112956808</v>
      </c>
      <c r="E13" s="50">
        <f t="shared" si="1"/>
        <v>-48879.29</v>
      </c>
    </row>
    <row r="14" spans="1:5" ht="25.5">
      <c r="A14" s="16" t="s">
        <v>148</v>
      </c>
      <c r="B14" s="25">
        <v>0</v>
      </c>
      <c r="C14" s="27">
        <v>22.85</v>
      </c>
      <c r="D14" s="26" t="str">
        <f t="shared" si="0"/>
        <v>   </v>
      </c>
      <c r="E14" s="50">
        <f t="shared" si="1"/>
        <v>22.85</v>
      </c>
    </row>
    <row r="15" spans="1:5" ht="26.25" customHeight="1">
      <c r="A15" s="16" t="s">
        <v>40</v>
      </c>
      <c r="B15" s="194">
        <v>29900</v>
      </c>
      <c r="C15" s="192">
        <f>SUM(C16:C17)</f>
        <v>4982.04</v>
      </c>
      <c r="D15" s="26">
        <f t="shared" si="0"/>
        <v>16.662341137123747</v>
      </c>
      <c r="E15" s="50">
        <f t="shared" si="1"/>
        <v>-24917.96</v>
      </c>
    </row>
    <row r="16" spans="1:5" ht="12.75">
      <c r="A16" s="16" t="s">
        <v>41</v>
      </c>
      <c r="B16" s="25">
        <v>29900</v>
      </c>
      <c r="C16" s="27">
        <v>1587.48</v>
      </c>
      <c r="D16" s="26">
        <f t="shared" si="0"/>
        <v>5.309297658862876</v>
      </c>
      <c r="E16" s="50">
        <f t="shared" si="1"/>
        <v>-28312.52</v>
      </c>
    </row>
    <row r="17" spans="1:5" ht="25.5" customHeight="1">
      <c r="A17" s="16" t="s">
        <v>42</v>
      </c>
      <c r="B17" s="25">
        <v>0</v>
      </c>
      <c r="C17" s="27">
        <v>3394.56</v>
      </c>
      <c r="D17" s="26" t="str">
        <f t="shared" si="0"/>
        <v>   </v>
      </c>
      <c r="E17" s="50">
        <f t="shared" si="1"/>
        <v>3394.56</v>
      </c>
    </row>
    <row r="18" spans="1:5" ht="18.75" customHeight="1">
      <c r="A18" s="43" t="s">
        <v>153</v>
      </c>
      <c r="B18" s="25">
        <v>0</v>
      </c>
      <c r="C18" s="27">
        <v>0</v>
      </c>
      <c r="D18" s="26" t="str">
        <f t="shared" si="0"/>
        <v>   </v>
      </c>
      <c r="E18" s="50">
        <f t="shared" si="1"/>
        <v>0</v>
      </c>
    </row>
    <row r="19" spans="1:5" ht="18.75" customHeight="1">
      <c r="A19" s="16" t="s">
        <v>106</v>
      </c>
      <c r="B19" s="194">
        <f>SUM(B20)</f>
        <v>14000</v>
      </c>
      <c r="C19" s="194">
        <f>SUM(C20)</f>
        <v>1858.3</v>
      </c>
      <c r="D19" s="26">
        <f t="shared" si="0"/>
        <v>13.27357142857143</v>
      </c>
      <c r="E19" s="50">
        <f t="shared" si="1"/>
        <v>-12141.7</v>
      </c>
    </row>
    <row r="20" spans="1:5" ht="26.25" customHeight="1">
      <c r="A20" s="16" t="s">
        <v>107</v>
      </c>
      <c r="B20" s="25">
        <v>14000</v>
      </c>
      <c r="C20" s="27">
        <v>1858.3</v>
      </c>
      <c r="D20" s="26">
        <f t="shared" si="0"/>
        <v>13.27357142857143</v>
      </c>
      <c r="E20" s="50">
        <f t="shared" si="1"/>
        <v>-12141.7</v>
      </c>
    </row>
    <row r="21" spans="1:5" ht="17.25" customHeight="1">
      <c r="A21" s="16" t="s">
        <v>44</v>
      </c>
      <c r="B21" s="192">
        <f>B22</f>
        <v>0</v>
      </c>
      <c r="C21" s="192">
        <f>C22</f>
        <v>11650.49</v>
      </c>
      <c r="D21" s="26" t="str">
        <f t="shared" si="0"/>
        <v>   </v>
      </c>
      <c r="E21" s="50">
        <f t="shared" si="1"/>
        <v>11650.49</v>
      </c>
    </row>
    <row r="22" spans="1:5" ht="15.75" customHeight="1">
      <c r="A22" s="16" t="s">
        <v>213</v>
      </c>
      <c r="B22" s="25">
        <v>0</v>
      </c>
      <c r="C22" s="27">
        <v>11650.49</v>
      </c>
      <c r="D22" s="26" t="str">
        <f t="shared" si="0"/>
        <v>   </v>
      </c>
      <c r="E22" s="50">
        <f t="shared" si="1"/>
        <v>11650.49</v>
      </c>
    </row>
    <row r="23" spans="1:5" ht="15" customHeight="1">
      <c r="A23" s="16" t="s">
        <v>43</v>
      </c>
      <c r="B23" s="25">
        <v>0</v>
      </c>
      <c r="C23" s="25">
        <v>0</v>
      </c>
      <c r="D23" s="26" t="str">
        <f t="shared" si="0"/>
        <v>   </v>
      </c>
      <c r="E23" s="50">
        <f t="shared" si="1"/>
        <v>0</v>
      </c>
    </row>
    <row r="24" spans="1:5" ht="18" customHeight="1">
      <c r="A24" s="165" t="s">
        <v>11</v>
      </c>
      <c r="B24" s="166">
        <f>SUM(B7,B9,B11,B14,B15,B18,B19,B22,B23,)</f>
        <v>315000</v>
      </c>
      <c r="C24" s="166">
        <f>SUM(C7,C9,C11,C14,C15,C18,C19,C22,C23,)</f>
        <v>79860.57</v>
      </c>
      <c r="D24" s="167">
        <f t="shared" si="0"/>
        <v>25.352561904761906</v>
      </c>
      <c r="E24" s="168">
        <f t="shared" si="1"/>
        <v>-235139.43</v>
      </c>
    </row>
    <row r="25" spans="1:5" ht="16.5" customHeight="1">
      <c r="A25" s="17" t="s">
        <v>46</v>
      </c>
      <c r="B25" s="24">
        <v>1127100</v>
      </c>
      <c r="C25" s="24">
        <v>539900</v>
      </c>
      <c r="D25" s="26">
        <f t="shared" si="0"/>
        <v>47.90169461449738</v>
      </c>
      <c r="E25" s="50">
        <f t="shared" si="1"/>
        <v>-587200</v>
      </c>
    </row>
    <row r="26" spans="1:5" ht="13.5" customHeight="1">
      <c r="A26" s="16" t="s">
        <v>65</v>
      </c>
      <c r="B26" s="25">
        <v>300000</v>
      </c>
      <c r="C26" s="27">
        <v>23000</v>
      </c>
      <c r="D26" s="26">
        <f t="shared" si="0"/>
        <v>7.666666666666666</v>
      </c>
      <c r="E26" s="50">
        <f t="shared" si="1"/>
        <v>-277000</v>
      </c>
    </row>
    <row r="27" spans="1:5" ht="39" customHeight="1">
      <c r="A27" s="201" t="s">
        <v>69</v>
      </c>
      <c r="B27" s="202">
        <v>45900</v>
      </c>
      <c r="C27" s="206">
        <v>45900</v>
      </c>
      <c r="D27" s="203">
        <f t="shared" si="0"/>
        <v>100</v>
      </c>
      <c r="E27" s="204">
        <f t="shared" si="1"/>
        <v>0</v>
      </c>
    </row>
    <row r="28" spans="1:5" ht="26.25" customHeight="1">
      <c r="A28" s="205" t="s">
        <v>164</v>
      </c>
      <c r="B28" s="202">
        <v>100</v>
      </c>
      <c r="C28" s="202">
        <v>100</v>
      </c>
      <c r="D28" s="203">
        <f t="shared" si="0"/>
        <v>100</v>
      </c>
      <c r="E28" s="204">
        <f t="shared" si="1"/>
        <v>0</v>
      </c>
    </row>
    <row r="29" spans="1:5" ht="27.75" customHeight="1">
      <c r="A29" s="16" t="s">
        <v>141</v>
      </c>
      <c r="B29" s="25">
        <v>0</v>
      </c>
      <c r="C29" s="27">
        <v>0</v>
      </c>
      <c r="D29" s="26" t="str">
        <f t="shared" si="0"/>
        <v>   </v>
      </c>
      <c r="E29" s="50">
        <f t="shared" si="1"/>
        <v>0</v>
      </c>
    </row>
    <row r="30" spans="1:5" ht="33.75" customHeight="1">
      <c r="A30" s="201" t="s">
        <v>174</v>
      </c>
      <c r="B30" s="202">
        <v>7500</v>
      </c>
      <c r="C30" s="202">
        <v>7500</v>
      </c>
      <c r="D30" s="203">
        <f t="shared" si="0"/>
        <v>100</v>
      </c>
      <c r="E30" s="204">
        <f t="shared" si="1"/>
        <v>0</v>
      </c>
    </row>
    <row r="31" spans="1:5" ht="16.5" customHeight="1">
      <c r="A31" s="16" t="s">
        <v>111</v>
      </c>
      <c r="B31" s="194">
        <f>B32</f>
        <v>158000</v>
      </c>
      <c r="C31" s="194">
        <f>C32</f>
        <v>49950</v>
      </c>
      <c r="D31" s="26">
        <f t="shared" si="0"/>
        <v>31.613924050632914</v>
      </c>
      <c r="E31" s="50">
        <f t="shared" si="1"/>
        <v>-108050</v>
      </c>
    </row>
    <row r="32" spans="1:5" ht="16.5" customHeight="1">
      <c r="A32" s="16" t="s">
        <v>211</v>
      </c>
      <c r="B32" s="25">
        <v>158000</v>
      </c>
      <c r="C32" s="27">
        <v>49950</v>
      </c>
      <c r="D32" s="26">
        <f t="shared" si="0"/>
        <v>31.613924050632914</v>
      </c>
      <c r="E32" s="50">
        <f t="shared" si="1"/>
        <v>-108050</v>
      </c>
    </row>
    <row r="33" spans="1:5" ht="54.75" customHeight="1">
      <c r="A33" s="16" t="s">
        <v>270</v>
      </c>
      <c r="B33" s="25">
        <v>742500</v>
      </c>
      <c r="C33" s="27">
        <v>0</v>
      </c>
      <c r="D33" s="26">
        <f t="shared" si="0"/>
        <v>0</v>
      </c>
      <c r="E33" s="50">
        <f t="shared" si="1"/>
        <v>-742500</v>
      </c>
    </row>
    <row r="34" spans="1:5" ht="42.75" customHeight="1">
      <c r="A34" s="16" t="s">
        <v>180</v>
      </c>
      <c r="B34" s="25">
        <v>0</v>
      </c>
      <c r="C34" s="25">
        <v>0</v>
      </c>
      <c r="D34" s="26" t="str">
        <f t="shared" si="0"/>
        <v>   </v>
      </c>
      <c r="E34" s="50">
        <f t="shared" si="1"/>
        <v>0</v>
      </c>
    </row>
    <row r="35" spans="1:5" ht="17.25" customHeight="1">
      <c r="A35" s="16" t="s">
        <v>47</v>
      </c>
      <c r="B35" s="25">
        <v>0</v>
      </c>
      <c r="C35" s="27">
        <v>0</v>
      </c>
      <c r="D35" s="26" t="str">
        <f t="shared" si="0"/>
        <v>   </v>
      </c>
      <c r="E35" s="50">
        <f t="shared" si="1"/>
        <v>0</v>
      </c>
    </row>
    <row r="36" spans="1:5" ht="21" customHeight="1">
      <c r="A36" s="165" t="s">
        <v>14</v>
      </c>
      <c r="B36" s="169">
        <f>SUM(B24,B25,B26:B30,B31,B33,B34,B35,)</f>
        <v>2696100</v>
      </c>
      <c r="C36" s="169">
        <f>SUM(C24,C25,C26:C30,C31,C33,C34,C35,)</f>
        <v>746210.5700000001</v>
      </c>
      <c r="D36" s="167">
        <f t="shared" si="0"/>
        <v>27.677406995289495</v>
      </c>
      <c r="E36" s="168">
        <f t="shared" si="1"/>
        <v>-1949889.43</v>
      </c>
    </row>
    <row r="37" spans="1:5" ht="12.75">
      <c r="A37" s="22" t="s">
        <v>15</v>
      </c>
      <c r="B37" s="52"/>
      <c r="C37" s="53"/>
      <c r="D37" s="26" t="str">
        <f t="shared" si="0"/>
        <v>   </v>
      </c>
      <c r="E37" s="50">
        <f t="shared" si="1"/>
        <v>0</v>
      </c>
    </row>
    <row r="38" spans="1:5" ht="12.75">
      <c r="A38" s="16" t="s">
        <v>48</v>
      </c>
      <c r="B38" s="25">
        <v>773860</v>
      </c>
      <c r="C38" s="25">
        <v>298185.92</v>
      </c>
      <c r="D38" s="26">
        <f t="shared" si="0"/>
        <v>38.532282324968335</v>
      </c>
      <c r="E38" s="50">
        <f t="shared" si="1"/>
        <v>-475674.08</v>
      </c>
    </row>
    <row r="39" spans="1:5" ht="13.5" customHeight="1">
      <c r="A39" s="16" t="s">
        <v>49</v>
      </c>
      <c r="B39" s="25">
        <v>757800</v>
      </c>
      <c r="C39" s="25">
        <v>298185.92</v>
      </c>
      <c r="D39" s="26">
        <f t="shared" si="0"/>
        <v>39.34889416732647</v>
      </c>
      <c r="E39" s="50">
        <f t="shared" si="1"/>
        <v>-459614.08</v>
      </c>
    </row>
    <row r="40" spans="1:5" ht="12.75">
      <c r="A40" s="119" t="s">
        <v>260</v>
      </c>
      <c r="B40" s="25">
        <v>476900</v>
      </c>
      <c r="C40" s="28">
        <v>197883.31</v>
      </c>
      <c r="D40" s="26">
        <f t="shared" si="0"/>
        <v>41.49366953239672</v>
      </c>
      <c r="E40" s="50">
        <f t="shared" si="1"/>
        <v>-279016.69</v>
      </c>
    </row>
    <row r="41" spans="1:5" ht="12.75">
      <c r="A41" s="16" t="s">
        <v>212</v>
      </c>
      <c r="B41" s="25">
        <v>100</v>
      </c>
      <c r="C41" s="28">
        <v>0</v>
      </c>
      <c r="D41" s="26">
        <f t="shared" si="0"/>
        <v>0</v>
      </c>
      <c r="E41" s="50">
        <f t="shared" si="1"/>
        <v>-100</v>
      </c>
    </row>
    <row r="42" spans="1:5" ht="12.75">
      <c r="A42" s="16" t="s">
        <v>166</v>
      </c>
      <c r="B42" s="25">
        <v>500</v>
      </c>
      <c r="C42" s="27">
        <v>0</v>
      </c>
      <c r="D42" s="26">
        <f t="shared" si="0"/>
        <v>0</v>
      </c>
      <c r="E42" s="50">
        <f t="shared" si="1"/>
        <v>-500</v>
      </c>
    </row>
    <row r="43" spans="1:5" ht="12.75">
      <c r="A43" s="16" t="s">
        <v>67</v>
      </c>
      <c r="B43" s="195">
        <f>SUM(B44)</f>
        <v>45900</v>
      </c>
      <c r="C43" s="195">
        <f>SUM(C44)</f>
        <v>18698.59</v>
      </c>
      <c r="D43" s="26">
        <f t="shared" si="0"/>
        <v>40.7376688453159</v>
      </c>
      <c r="E43" s="50">
        <f t="shared" si="1"/>
        <v>-27201.41</v>
      </c>
    </row>
    <row r="44" spans="1:5" ht="24" customHeight="1">
      <c r="A44" s="43" t="s">
        <v>207</v>
      </c>
      <c r="B44" s="25">
        <v>45900</v>
      </c>
      <c r="C44" s="27">
        <v>18698.59</v>
      </c>
      <c r="D44" s="26">
        <f t="shared" si="0"/>
        <v>40.7376688453159</v>
      </c>
      <c r="E44" s="50">
        <f t="shared" si="1"/>
        <v>-27201.41</v>
      </c>
    </row>
    <row r="45" spans="1:5" ht="17.25" customHeight="1">
      <c r="A45" s="16" t="s">
        <v>50</v>
      </c>
      <c r="B45" s="194">
        <f>SUM(B46)</f>
        <v>400</v>
      </c>
      <c r="C45" s="195">
        <f>SUM(C46)</f>
        <v>0</v>
      </c>
      <c r="D45" s="26">
        <f t="shared" si="0"/>
        <v>0</v>
      </c>
      <c r="E45" s="50">
        <f t="shared" si="1"/>
        <v>-400</v>
      </c>
    </row>
    <row r="46" spans="1:5" ht="27.75" customHeight="1">
      <c r="A46" s="48" t="s">
        <v>151</v>
      </c>
      <c r="B46" s="25">
        <v>400</v>
      </c>
      <c r="C46" s="27">
        <v>0</v>
      </c>
      <c r="D46" s="26">
        <f t="shared" si="0"/>
        <v>0</v>
      </c>
      <c r="E46" s="50">
        <f t="shared" si="1"/>
        <v>-400</v>
      </c>
    </row>
    <row r="47" spans="1:5" ht="12.75">
      <c r="A47" s="16" t="s">
        <v>51</v>
      </c>
      <c r="B47" s="194">
        <f>SUM(B48:B48)</f>
        <v>0</v>
      </c>
      <c r="C47" s="194">
        <f>SUM(C48:C48)</f>
        <v>0</v>
      </c>
      <c r="D47" s="26" t="str">
        <f t="shared" si="0"/>
        <v>   </v>
      </c>
      <c r="E47" s="50">
        <f t="shared" si="1"/>
        <v>0</v>
      </c>
    </row>
    <row r="48" spans="1:5" ht="12.75">
      <c r="A48" s="16" t="s">
        <v>61</v>
      </c>
      <c r="B48" s="194">
        <f>SUM(B49)</f>
        <v>0</v>
      </c>
      <c r="C48" s="194">
        <f>SUM(C49)</f>
        <v>0</v>
      </c>
      <c r="D48" s="26" t="str">
        <f t="shared" si="0"/>
        <v>   </v>
      </c>
      <c r="E48" s="50">
        <f t="shared" si="1"/>
        <v>0</v>
      </c>
    </row>
    <row r="49" spans="1:5" ht="12.75">
      <c r="A49" s="16" t="s">
        <v>74</v>
      </c>
      <c r="B49" s="25">
        <v>0</v>
      </c>
      <c r="C49" s="25">
        <v>0</v>
      </c>
      <c r="D49" s="26" t="str">
        <f t="shared" si="0"/>
        <v>   </v>
      </c>
      <c r="E49" s="50">
        <f t="shared" si="1"/>
        <v>0</v>
      </c>
    </row>
    <row r="50" spans="1:5" ht="16.5" customHeight="1">
      <c r="A50" s="16" t="s">
        <v>16</v>
      </c>
      <c r="B50" s="194">
        <f>SUM(B51,B52,)</f>
        <v>388800</v>
      </c>
      <c r="C50" s="194">
        <f>SUM(C51,C52,)</f>
        <v>82546.77</v>
      </c>
      <c r="D50" s="26">
        <f t="shared" si="0"/>
        <v>21.23116512345679</v>
      </c>
      <c r="E50" s="50">
        <f t="shared" si="1"/>
        <v>-306253.23</v>
      </c>
    </row>
    <row r="51" spans="1:5" ht="12.75">
      <c r="A51" s="16" t="s">
        <v>17</v>
      </c>
      <c r="B51" s="25">
        <v>0</v>
      </c>
      <c r="C51" s="25">
        <v>0</v>
      </c>
      <c r="D51" s="26" t="str">
        <f t="shared" si="0"/>
        <v>   </v>
      </c>
      <c r="E51" s="50">
        <f t="shared" si="1"/>
        <v>0</v>
      </c>
    </row>
    <row r="52" spans="1:5" ht="12.75">
      <c r="A52" s="16" t="s">
        <v>89</v>
      </c>
      <c r="B52" s="25">
        <v>388800</v>
      </c>
      <c r="C52" s="25">
        <v>82546.77</v>
      </c>
      <c r="D52" s="26">
        <f t="shared" si="0"/>
        <v>21.23116512345679</v>
      </c>
      <c r="E52" s="50">
        <f t="shared" si="1"/>
        <v>-306253.23</v>
      </c>
    </row>
    <row r="53" spans="1:5" ht="12.75">
      <c r="A53" s="16" t="s">
        <v>88</v>
      </c>
      <c r="B53" s="25">
        <v>120000</v>
      </c>
      <c r="C53" s="27">
        <v>32546.77</v>
      </c>
      <c r="D53" s="26">
        <f t="shared" si="0"/>
        <v>27.122308333333333</v>
      </c>
      <c r="E53" s="50">
        <f t="shared" si="1"/>
        <v>-87453.23</v>
      </c>
    </row>
    <row r="54" spans="1:5" ht="12.75">
      <c r="A54" s="16" t="s">
        <v>132</v>
      </c>
      <c r="B54" s="25">
        <v>158000</v>
      </c>
      <c r="C54" s="27">
        <v>25000</v>
      </c>
      <c r="D54" s="26">
        <f t="shared" si="0"/>
        <v>15.822784810126583</v>
      </c>
      <c r="E54" s="50">
        <f t="shared" si="1"/>
        <v>-133000</v>
      </c>
    </row>
    <row r="55" spans="1:5" ht="12.75">
      <c r="A55" s="16" t="s">
        <v>133</v>
      </c>
      <c r="B55" s="25">
        <v>110800</v>
      </c>
      <c r="C55" s="27">
        <v>25000</v>
      </c>
      <c r="D55" s="26">
        <f t="shared" si="0"/>
        <v>22.563176895306857</v>
      </c>
      <c r="E55" s="50">
        <f t="shared" si="1"/>
        <v>-85800</v>
      </c>
    </row>
    <row r="56" spans="1:5" ht="12.75">
      <c r="A56" s="48" t="s">
        <v>176</v>
      </c>
      <c r="B56" s="25">
        <v>0</v>
      </c>
      <c r="C56" s="25">
        <v>0</v>
      </c>
      <c r="D56" s="26" t="str">
        <f t="shared" si="0"/>
        <v>   </v>
      </c>
      <c r="E56" s="50">
        <f t="shared" si="1"/>
        <v>0</v>
      </c>
    </row>
    <row r="57" spans="1:5" ht="12.75">
      <c r="A57" s="48" t="s">
        <v>181</v>
      </c>
      <c r="B57" s="25">
        <v>0</v>
      </c>
      <c r="C57" s="27">
        <v>0</v>
      </c>
      <c r="D57" s="26" t="str">
        <f t="shared" si="0"/>
        <v>   </v>
      </c>
      <c r="E57" s="50">
        <f t="shared" si="1"/>
        <v>0</v>
      </c>
    </row>
    <row r="58" spans="1:5" ht="12.75">
      <c r="A58" s="48" t="s">
        <v>234</v>
      </c>
      <c r="B58" s="25">
        <v>0</v>
      </c>
      <c r="C58" s="27">
        <v>0</v>
      </c>
      <c r="D58" s="26" t="str">
        <f t="shared" si="0"/>
        <v>   </v>
      </c>
      <c r="E58" s="50">
        <f t="shared" si="1"/>
        <v>0</v>
      </c>
    </row>
    <row r="59" spans="1:5" ht="18.75" customHeight="1">
      <c r="A59" s="18" t="s">
        <v>24</v>
      </c>
      <c r="B59" s="31">
        <v>5000</v>
      </c>
      <c r="C59" s="31">
        <v>1070</v>
      </c>
      <c r="D59" s="26">
        <f t="shared" si="0"/>
        <v>21.4</v>
      </c>
      <c r="E59" s="50">
        <f t="shared" si="1"/>
        <v>-3930</v>
      </c>
    </row>
    <row r="60" spans="1:5" ht="17.25" customHeight="1">
      <c r="A60" s="16" t="s">
        <v>54</v>
      </c>
      <c r="B60" s="192">
        <f>B61</f>
        <v>742440</v>
      </c>
      <c r="C60" s="192">
        <f>C61</f>
        <v>341023.97</v>
      </c>
      <c r="D60" s="26">
        <f t="shared" si="0"/>
        <v>45.93286595549808</v>
      </c>
      <c r="E60" s="50">
        <f t="shared" si="1"/>
        <v>-401416.03</v>
      </c>
    </row>
    <row r="61" spans="1:5" ht="12.75">
      <c r="A61" s="16" t="s">
        <v>55</v>
      </c>
      <c r="B61" s="25">
        <v>742440</v>
      </c>
      <c r="C61" s="27">
        <v>341023.97</v>
      </c>
      <c r="D61" s="26">
        <f t="shared" si="0"/>
        <v>45.93286595549808</v>
      </c>
      <c r="E61" s="50">
        <f t="shared" si="1"/>
        <v>-401416.03</v>
      </c>
    </row>
    <row r="62" spans="1:5" ht="12.75">
      <c r="A62" s="119" t="s">
        <v>260</v>
      </c>
      <c r="B62" s="25">
        <v>412740</v>
      </c>
      <c r="C62" s="27">
        <v>181617.8</v>
      </c>
      <c r="D62" s="26">
        <f t="shared" si="0"/>
        <v>44.00295585598682</v>
      </c>
      <c r="E62" s="50">
        <f t="shared" si="1"/>
        <v>-231122.2</v>
      </c>
    </row>
    <row r="63" spans="1:5" ht="12.75">
      <c r="A63" s="16" t="s">
        <v>208</v>
      </c>
      <c r="B63" s="25">
        <v>7500</v>
      </c>
      <c r="C63" s="27">
        <v>0</v>
      </c>
      <c r="D63" s="26">
        <f t="shared" si="0"/>
        <v>0</v>
      </c>
      <c r="E63" s="50">
        <f t="shared" si="1"/>
        <v>-7500</v>
      </c>
    </row>
    <row r="64" spans="1:5" ht="12.75">
      <c r="A64" s="16" t="s">
        <v>266</v>
      </c>
      <c r="B64" s="194">
        <f>SUM(B65,)</f>
        <v>15000</v>
      </c>
      <c r="C64" s="194">
        <f>SUM(C65,)</f>
        <v>6000</v>
      </c>
      <c r="D64" s="26">
        <f t="shared" si="0"/>
        <v>40</v>
      </c>
      <c r="E64" s="50">
        <f t="shared" si="1"/>
        <v>-9000</v>
      </c>
    </row>
    <row r="65" spans="1:5" ht="12.75">
      <c r="A65" s="16" t="s">
        <v>56</v>
      </c>
      <c r="B65" s="25">
        <v>15000</v>
      </c>
      <c r="C65" s="28">
        <v>6000</v>
      </c>
      <c r="D65" s="26">
        <f t="shared" si="0"/>
        <v>40</v>
      </c>
      <c r="E65" s="50">
        <f t="shared" si="1"/>
        <v>-9000</v>
      </c>
    </row>
    <row r="66" spans="1:5" ht="18.75" customHeight="1">
      <c r="A66" s="16" t="s">
        <v>18</v>
      </c>
      <c r="B66" s="194">
        <f>B67</f>
        <v>758700</v>
      </c>
      <c r="C66" s="194">
        <f>C67</f>
        <v>0</v>
      </c>
      <c r="D66" s="26">
        <f t="shared" si="0"/>
        <v>0</v>
      </c>
      <c r="E66" s="50">
        <f t="shared" si="1"/>
        <v>-758700</v>
      </c>
    </row>
    <row r="67" spans="1:5" ht="18.75" customHeight="1">
      <c r="A67" s="16" t="s">
        <v>276</v>
      </c>
      <c r="B67" s="194">
        <f>SUM(B68,B73)</f>
        <v>758700</v>
      </c>
      <c r="C67" s="194">
        <f>SUM(C68,C73)</f>
        <v>0</v>
      </c>
      <c r="D67" s="26">
        <f t="shared" si="0"/>
        <v>0</v>
      </c>
      <c r="E67" s="50">
        <f t="shared" si="1"/>
        <v>-758700</v>
      </c>
    </row>
    <row r="68" spans="1:5" ht="18.75" customHeight="1">
      <c r="A68" s="120" t="s">
        <v>274</v>
      </c>
      <c r="B68" s="199">
        <f>SUM(B69)</f>
        <v>16200</v>
      </c>
      <c r="C68" s="199">
        <f>SUM(C69)</f>
        <v>0</v>
      </c>
      <c r="D68" s="26">
        <f t="shared" si="0"/>
        <v>0</v>
      </c>
      <c r="E68" s="50">
        <f t="shared" si="1"/>
        <v>-16200</v>
      </c>
    </row>
    <row r="69" spans="1:5" ht="27" customHeight="1">
      <c r="A69" s="16" t="s">
        <v>281</v>
      </c>
      <c r="B69" s="194">
        <f>SUM(B70:B72)</f>
        <v>16200</v>
      </c>
      <c r="C69" s="194">
        <f>SUM(C70:C72)</f>
        <v>0</v>
      </c>
      <c r="D69" s="26">
        <f t="shared" si="0"/>
        <v>0</v>
      </c>
      <c r="E69" s="50">
        <f t="shared" si="1"/>
        <v>-16200</v>
      </c>
    </row>
    <row r="70" spans="1:5" ht="15" customHeight="1">
      <c r="A70" s="48" t="s">
        <v>287</v>
      </c>
      <c r="B70" s="25">
        <v>0</v>
      </c>
      <c r="C70" s="25"/>
      <c r="D70" s="26" t="str">
        <f t="shared" si="0"/>
        <v>   </v>
      </c>
      <c r="E70" s="50">
        <f t="shared" si="1"/>
        <v>0</v>
      </c>
    </row>
    <row r="71" spans="1:5" ht="13.5" customHeight="1">
      <c r="A71" s="48" t="s">
        <v>288</v>
      </c>
      <c r="B71" s="25">
        <v>0</v>
      </c>
      <c r="C71" s="25"/>
      <c r="D71" s="26" t="str">
        <f>IF(B71=0,"   ",C71/B71*100)</f>
        <v>   </v>
      </c>
      <c r="E71" s="50">
        <f t="shared" si="1"/>
        <v>0</v>
      </c>
    </row>
    <row r="72" spans="1:5" ht="12.75" customHeight="1">
      <c r="A72" s="48" t="s">
        <v>289</v>
      </c>
      <c r="B72" s="25">
        <v>16200</v>
      </c>
      <c r="C72" s="25"/>
      <c r="D72" s="26">
        <f>IF(B72=0,"   ",C72/B72*100)</f>
        <v>0</v>
      </c>
      <c r="E72" s="50">
        <f t="shared" si="1"/>
        <v>-16200</v>
      </c>
    </row>
    <row r="73" spans="1:5" ht="42.75" customHeight="1">
      <c r="A73" s="120" t="s">
        <v>282</v>
      </c>
      <c r="B73" s="121">
        <v>742500</v>
      </c>
      <c r="C73" s="121">
        <v>0</v>
      </c>
      <c r="D73" s="26">
        <f>IF(B73=0,"   ",C73/B73*100)</f>
        <v>0</v>
      </c>
      <c r="E73" s="50">
        <f t="shared" si="1"/>
        <v>-742500</v>
      </c>
    </row>
    <row r="74" spans="1:5" ht="21" customHeight="1">
      <c r="A74" s="165" t="s">
        <v>19</v>
      </c>
      <c r="B74" s="169">
        <f>SUM(B38,B43,B45,B47,B50,B59,B60,B64,B66,)</f>
        <v>2730100</v>
      </c>
      <c r="C74" s="169">
        <f>SUM(C38,C43,C45,C47,C50,C59,C60,C64,C66,)</f>
        <v>747525.25</v>
      </c>
      <c r="D74" s="167">
        <f>IF(B74=0,"   ",C74/B74*100)</f>
        <v>27.38087432694773</v>
      </c>
      <c r="E74" s="168">
        <f t="shared" si="1"/>
        <v>-1982574.75</v>
      </c>
    </row>
    <row r="75" spans="1:5" ht="18.75" customHeight="1" thickBot="1">
      <c r="A75" s="99" t="s">
        <v>262</v>
      </c>
      <c r="B75" s="213">
        <f>B40+B62</f>
        <v>889640</v>
      </c>
      <c r="C75" s="213">
        <f>C40+C62</f>
        <v>379501.11</v>
      </c>
      <c r="D75" s="100">
        <f>IF(B75=0,"   ",C75/B75*100)</f>
        <v>42.65782900948698</v>
      </c>
      <c r="E75" s="101">
        <f t="shared" si="1"/>
        <v>-510138.89</v>
      </c>
    </row>
    <row r="76" spans="1:5" ht="34.5" customHeight="1">
      <c r="A76" s="111" t="s">
        <v>317</v>
      </c>
      <c r="B76" s="111"/>
      <c r="C76" s="235"/>
      <c r="D76" s="235"/>
      <c r="E76" s="235"/>
    </row>
    <row r="77" spans="1:5" ht="13.5" customHeight="1">
      <c r="A77" s="111" t="s">
        <v>318</v>
      </c>
      <c r="B77" s="111"/>
      <c r="C77" s="112" t="s">
        <v>319</v>
      </c>
      <c r="D77" s="113"/>
      <c r="E77" s="114"/>
    </row>
    <row r="78" spans="1:5" ht="12.75">
      <c r="A78" s="7"/>
      <c r="B78" s="7"/>
      <c r="C78" s="6"/>
      <c r="D78" s="7"/>
      <c r="E78" s="2"/>
    </row>
    <row r="79" spans="1:5" ht="12.75">
      <c r="A79" s="7"/>
      <c r="B79" s="7"/>
      <c r="C79" s="6"/>
      <c r="D79" s="7"/>
      <c r="E79" s="2"/>
    </row>
    <row r="80" spans="1:5" ht="12.75">
      <c r="A80" s="7"/>
      <c r="B80" s="7"/>
      <c r="C80" s="6"/>
      <c r="D80" s="7"/>
      <c r="E80" s="2"/>
    </row>
    <row r="81" spans="1:5" ht="12.75">
      <c r="A81" s="7"/>
      <c r="B81" s="7"/>
      <c r="C81" s="6"/>
      <c r="D81" s="7"/>
      <c r="E81" s="2"/>
    </row>
  </sheetData>
  <mergeCells count="2">
    <mergeCell ref="A1:E1"/>
    <mergeCell ref="C76:E76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7"/>
  <sheetViews>
    <sheetView zoomScale="75" zoomScaleNormal="75" workbookViewId="0" topLeftCell="A68">
      <selection activeCell="A92" sqref="A92:E93"/>
    </sheetView>
  </sheetViews>
  <sheetFormatPr defaultColWidth="9.00390625" defaultRowHeight="12.75"/>
  <cols>
    <col min="1" max="1" width="77.375" style="0" customWidth="1"/>
    <col min="2" max="2" width="18.375" style="0" customWidth="1"/>
    <col min="3" max="3" width="20.25390625" style="0" customWidth="1"/>
    <col min="4" max="4" width="18.375" style="0" customWidth="1"/>
    <col min="5" max="5" width="20.125" style="0" customWidth="1"/>
  </cols>
  <sheetData>
    <row r="1" spans="1:5" ht="18">
      <c r="A1" s="237" t="s">
        <v>307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5" t="s">
        <v>1</v>
      </c>
      <c r="B4" s="19" t="s">
        <v>240</v>
      </c>
      <c r="C4" s="32" t="s">
        <v>303</v>
      </c>
      <c r="D4" s="19" t="s">
        <v>250</v>
      </c>
      <c r="E4" s="102" t="s">
        <v>251</v>
      </c>
    </row>
    <row r="5" spans="1:5" ht="12.75">
      <c r="A5" s="13">
        <v>1</v>
      </c>
      <c r="B5" s="98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2">
        <f>SUM(B8)</f>
        <v>5265700</v>
      </c>
      <c r="C7" s="192">
        <f>SUM(C8)</f>
        <v>2501980.84</v>
      </c>
      <c r="D7" s="26">
        <f aca="true" t="shared" si="0" ref="D7:D70">IF(B7=0,"   ",C7/B7*100)</f>
        <v>47.51468636648499</v>
      </c>
      <c r="E7" s="50">
        <f aca="true" t="shared" si="1" ref="E7:E91">C7-B7</f>
        <v>-2763719.16</v>
      </c>
    </row>
    <row r="8" spans="1:5" ht="12.75">
      <c r="A8" s="16" t="s">
        <v>57</v>
      </c>
      <c r="B8" s="25">
        <v>5265700</v>
      </c>
      <c r="C8" s="27">
        <v>2501980.84</v>
      </c>
      <c r="D8" s="26">
        <f t="shared" si="0"/>
        <v>47.51468636648499</v>
      </c>
      <c r="E8" s="50">
        <f t="shared" si="1"/>
        <v>-2763719.16</v>
      </c>
    </row>
    <row r="9" spans="1:5" ht="12.75">
      <c r="A9" s="16" t="s">
        <v>7</v>
      </c>
      <c r="B9" s="194">
        <f>SUM(B10:B10)</f>
        <v>0</v>
      </c>
      <c r="C9" s="192">
        <f>SUM(C10)</f>
        <v>3020.16</v>
      </c>
      <c r="D9" s="26" t="str">
        <f t="shared" si="0"/>
        <v>   </v>
      </c>
      <c r="E9" s="50">
        <f t="shared" si="1"/>
        <v>3020.16</v>
      </c>
    </row>
    <row r="10" spans="1:5" ht="12.75">
      <c r="A10" s="16" t="s">
        <v>38</v>
      </c>
      <c r="B10" s="25">
        <v>0</v>
      </c>
      <c r="C10" s="27">
        <v>3020.16</v>
      </c>
      <c r="D10" s="26" t="str">
        <f t="shared" si="0"/>
        <v>   </v>
      </c>
      <c r="E10" s="50">
        <f t="shared" si="1"/>
        <v>3020.16</v>
      </c>
    </row>
    <row r="11" spans="1:5" ht="12.75">
      <c r="A11" s="16" t="s">
        <v>9</v>
      </c>
      <c r="B11" s="194">
        <f>SUM(B12:B13)</f>
        <v>2808600</v>
      </c>
      <c r="C11" s="194">
        <f>SUM(C12:C13)</f>
        <v>667738.8099999999</v>
      </c>
      <c r="D11" s="26">
        <f t="shared" si="0"/>
        <v>23.7747920672221</v>
      </c>
      <c r="E11" s="50">
        <f t="shared" si="1"/>
        <v>-2140861.19</v>
      </c>
    </row>
    <row r="12" spans="1:5" ht="12.75">
      <c r="A12" s="16" t="s">
        <v>39</v>
      </c>
      <c r="B12" s="25">
        <v>400000</v>
      </c>
      <c r="C12" s="27">
        <v>95607.71</v>
      </c>
      <c r="D12" s="26">
        <f t="shared" si="0"/>
        <v>23.9019275</v>
      </c>
      <c r="E12" s="50">
        <f t="shared" si="1"/>
        <v>-304392.29</v>
      </c>
    </row>
    <row r="13" spans="1:5" ht="12.75">
      <c r="A13" s="16" t="s">
        <v>10</v>
      </c>
      <c r="B13" s="25">
        <v>2408600</v>
      </c>
      <c r="C13" s="27">
        <v>572131.1</v>
      </c>
      <c r="D13" s="26">
        <f t="shared" si="0"/>
        <v>23.75367848542722</v>
      </c>
      <c r="E13" s="50">
        <f t="shared" si="1"/>
        <v>-1836468.9</v>
      </c>
    </row>
    <row r="14" spans="1:5" ht="25.5">
      <c r="A14" s="16" t="s">
        <v>149</v>
      </c>
      <c r="B14" s="25">
        <v>0</v>
      </c>
      <c r="C14" s="27">
        <v>22.98</v>
      </c>
      <c r="D14" s="26" t="str">
        <f t="shared" si="0"/>
        <v>   </v>
      </c>
      <c r="E14" s="50">
        <f t="shared" si="1"/>
        <v>22.98</v>
      </c>
    </row>
    <row r="15" spans="1:5" ht="27" customHeight="1">
      <c r="A15" s="16" t="s">
        <v>40</v>
      </c>
      <c r="B15" s="194">
        <f>SUM(B16:B17)</f>
        <v>1010000</v>
      </c>
      <c r="C15" s="194">
        <f>SUM(C16:C17)</f>
        <v>257583.61</v>
      </c>
      <c r="D15" s="26">
        <f t="shared" si="0"/>
        <v>25.503327722772273</v>
      </c>
      <c r="E15" s="50">
        <f t="shared" si="1"/>
        <v>-752416.39</v>
      </c>
    </row>
    <row r="16" spans="1:5" ht="12.75">
      <c r="A16" s="120" t="s">
        <v>41</v>
      </c>
      <c r="B16" s="25">
        <v>560000</v>
      </c>
      <c r="C16" s="27">
        <v>130834.08</v>
      </c>
      <c r="D16" s="26">
        <f t="shared" si="0"/>
        <v>23.36322857142857</v>
      </c>
      <c r="E16" s="50">
        <f t="shared" si="1"/>
        <v>-429165.92</v>
      </c>
    </row>
    <row r="17" spans="1:5" ht="24" customHeight="1">
      <c r="A17" s="16" t="s">
        <v>42</v>
      </c>
      <c r="B17" s="25">
        <v>450000</v>
      </c>
      <c r="C17" s="27">
        <v>126749.53</v>
      </c>
      <c r="D17" s="26">
        <f t="shared" si="0"/>
        <v>28.166562222222225</v>
      </c>
      <c r="E17" s="50">
        <f t="shared" si="1"/>
        <v>-323250.47</v>
      </c>
    </row>
    <row r="18" spans="1:5" ht="15.75" customHeight="1">
      <c r="A18" s="16" t="s">
        <v>106</v>
      </c>
      <c r="B18" s="194">
        <v>0</v>
      </c>
      <c r="C18" s="194">
        <f>SUM(C19)</f>
        <v>16425.95</v>
      </c>
      <c r="D18" s="26" t="str">
        <f t="shared" si="0"/>
        <v>   </v>
      </c>
      <c r="E18" s="50">
        <f t="shared" si="1"/>
        <v>16425.95</v>
      </c>
    </row>
    <row r="19" spans="1:5" ht="25.5" customHeight="1">
      <c r="A19" s="16" t="s">
        <v>107</v>
      </c>
      <c r="B19" s="25">
        <v>0</v>
      </c>
      <c r="C19" s="27">
        <v>16425.95</v>
      </c>
      <c r="D19" s="26" t="str">
        <f t="shared" si="0"/>
        <v>   </v>
      </c>
      <c r="E19" s="50">
        <f t="shared" si="1"/>
        <v>16425.95</v>
      </c>
    </row>
    <row r="20" spans="1:5" ht="30" customHeight="1">
      <c r="A20" s="16" t="s">
        <v>118</v>
      </c>
      <c r="B20" s="194">
        <f>B21</f>
        <v>0</v>
      </c>
      <c r="C20" s="194">
        <f>C21</f>
        <v>0</v>
      </c>
      <c r="D20" s="26" t="str">
        <f t="shared" si="0"/>
        <v>   </v>
      </c>
      <c r="E20" s="50">
        <f t="shared" si="1"/>
        <v>0</v>
      </c>
    </row>
    <row r="21" spans="1:5" ht="30" customHeight="1">
      <c r="A21" s="16" t="s">
        <v>119</v>
      </c>
      <c r="B21" s="25">
        <v>0</v>
      </c>
      <c r="C21" s="27">
        <v>0</v>
      </c>
      <c r="D21" s="26" t="str">
        <f t="shared" si="0"/>
        <v>   </v>
      </c>
      <c r="E21" s="50">
        <f t="shared" si="1"/>
        <v>0</v>
      </c>
    </row>
    <row r="22" spans="1:5" ht="12.75">
      <c r="A22" s="16" t="s">
        <v>44</v>
      </c>
      <c r="B22" s="194">
        <f>B23+B24</f>
        <v>0</v>
      </c>
      <c r="C22" s="194">
        <f>C23+C24</f>
        <v>-7114.74</v>
      </c>
      <c r="D22" s="26" t="str">
        <f t="shared" si="0"/>
        <v>   </v>
      </c>
      <c r="E22" s="50">
        <f t="shared" si="1"/>
        <v>-7114.74</v>
      </c>
    </row>
    <row r="23" spans="1:5" ht="13.5" customHeight="1">
      <c r="A23" s="16" t="s">
        <v>59</v>
      </c>
      <c r="B23" s="25">
        <v>0</v>
      </c>
      <c r="C23" s="25">
        <v>-7114.74</v>
      </c>
      <c r="D23" s="26" t="str">
        <f t="shared" si="0"/>
        <v>   </v>
      </c>
      <c r="E23" s="50">
        <f t="shared" si="1"/>
        <v>-7114.74</v>
      </c>
    </row>
    <row r="24" spans="1:5" ht="15.75" customHeight="1">
      <c r="A24" s="16" t="s">
        <v>213</v>
      </c>
      <c r="B24" s="25">
        <v>0</v>
      </c>
      <c r="C24" s="27">
        <v>0</v>
      </c>
      <c r="D24" s="26" t="str">
        <f t="shared" si="0"/>
        <v>   </v>
      </c>
      <c r="E24" s="50">
        <f t="shared" si="1"/>
        <v>0</v>
      </c>
    </row>
    <row r="25" spans="1:5" ht="13.5" customHeight="1">
      <c r="A25" s="16" t="s">
        <v>43</v>
      </c>
      <c r="B25" s="25">
        <v>0</v>
      </c>
      <c r="C25" s="25">
        <v>5957</v>
      </c>
      <c r="D25" s="26" t="str">
        <f t="shared" si="0"/>
        <v>   </v>
      </c>
      <c r="E25" s="50">
        <f t="shared" si="1"/>
        <v>5957</v>
      </c>
    </row>
    <row r="26" spans="1:5" ht="15" customHeight="1">
      <c r="A26" s="165" t="s">
        <v>11</v>
      </c>
      <c r="B26" s="166">
        <f>SUM(B7,B9,B11,B15,B18,B20,B22,)</f>
        <v>9084300</v>
      </c>
      <c r="C26" s="166">
        <f>SUM(C7,C9,C11,C14,C15,C18,C20,C22,C25,)</f>
        <v>3445614.61</v>
      </c>
      <c r="D26" s="167">
        <f t="shared" si="0"/>
        <v>37.92933533678984</v>
      </c>
      <c r="E26" s="168">
        <f t="shared" si="1"/>
        <v>-5638685.390000001</v>
      </c>
    </row>
    <row r="27" spans="1:5" ht="15" customHeight="1">
      <c r="A27" s="17" t="s">
        <v>46</v>
      </c>
      <c r="B27" s="24">
        <v>5912500</v>
      </c>
      <c r="C27" s="24">
        <v>2888700</v>
      </c>
      <c r="D27" s="26">
        <f t="shared" si="0"/>
        <v>48.85750528541226</v>
      </c>
      <c r="E27" s="50">
        <f t="shared" si="1"/>
        <v>-3023800</v>
      </c>
    </row>
    <row r="28" spans="1:5" ht="26.25" customHeight="1">
      <c r="A28" s="16" t="s">
        <v>65</v>
      </c>
      <c r="B28" s="25">
        <v>0</v>
      </c>
      <c r="C28" s="27">
        <v>0</v>
      </c>
      <c r="D28" s="26" t="str">
        <f t="shared" si="0"/>
        <v>   </v>
      </c>
      <c r="E28" s="50">
        <f t="shared" si="1"/>
        <v>0</v>
      </c>
    </row>
    <row r="29" spans="1:5" ht="39" customHeight="1">
      <c r="A29" s="201" t="s">
        <v>69</v>
      </c>
      <c r="B29" s="202">
        <v>229500</v>
      </c>
      <c r="C29" s="206">
        <v>229500</v>
      </c>
      <c r="D29" s="203">
        <f t="shared" si="0"/>
        <v>100</v>
      </c>
      <c r="E29" s="204">
        <f t="shared" si="1"/>
        <v>0</v>
      </c>
    </row>
    <row r="30" spans="1:5" ht="53.25" customHeight="1">
      <c r="A30" s="16" t="s">
        <v>272</v>
      </c>
      <c r="B30" s="25">
        <v>1484900</v>
      </c>
      <c r="C30" s="25">
        <v>0</v>
      </c>
      <c r="D30" s="26">
        <f t="shared" si="0"/>
        <v>0</v>
      </c>
      <c r="E30" s="50">
        <f t="shared" si="1"/>
        <v>-1484900</v>
      </c>
    </row>
    <row r="31" spans="1:5" ht="25.5" customHeight="1">
      <c r="A31" s="16" t="s">
        <v>70</v>
      </c>
      <c r="B31" s="25">
        <v>800</v>
      </c>
      <c r="C31" s="25">
        <v>100</v>
      </c>
      <c r="D31" s="26">
        <f t="shared" si="0"/>
        <v>12.5</v>
      </c>
      <c r="E31" s="50">
        <f t="shared" si="1"/>
        <v>-700</v>
      </c>
    </row>
    <row r="32" spans="1:5" ht="27.75" customHeight="1">
      <c r="A32" s="16" t="s">
        <v>156</v>
      </c>
      <c r="B32" s="194">
        <f>SUM(B33,B35)</f>
        <v>1007500</v>
      </c>
      <c r="C32" s="194">
        <f>SUM(C33,C35)</f>
        <v>360100</v>
      </c>
      <c r="D32" s="26">
        <f t="shared" si="0"/>
        <v>35.74193548387097</v>
      </c>
      <c r="E32" s="50">
        <f t="shared" si="1"/>
        <v>-647400</v>
      </c>
    </row>
    <row r="33" spans="1:5" ht="42" customHeight="1">
      <c r="A33" s="16" t="s">
        <v>261</v>
      </c>
      <c r="B33" s="25">
        <v>1000000</v>
      </c>
      <c r="C33" s="27">
        <v>352600</v>
      </c>
      <c r="D33" s="26"/>
      <c r="E33" s="50"/>
    </row>
    <row r="34" spans="1:5" ht="30" customHeight="1">
      <c r="A34" s="16" t="s">
        <v>79</v>
      </c>
      <c r="B34" s="25">
        <v>2505700</v>
      </c>
      <c r="C34" s="27">
        <v>0</v>
      </c>
      <c r="D34" s="26">
        <f t="shared" si="0"/>
        <v>0</v>
      </c>
      <c r="E34" s="50">
        <f t="shared" si="1"/>
        <v>-2505700</v>
      </c>
    </row>
    <row r="35" spans="1:5" ht="39" customHeight="1">
      <c r="A35" s="201" t="s">
        <v>174</v>
      </c>
      <c r="B35" s="202">
        <v>7500</v>
      </c>
      <c r="C35" s="202">
        <v>7500</v>
      </c>
      <c r="D35" s="203">
        <f t="shared" si="0"/>
        <v>100</v>
      </c>
      <c r="E35" s="204">
        <f t="shared" si="1"/>
        <v>0</v>
      </c>
    </row>
    <row r="36" spans="1:5" ht="18.75" customHeight="1">
      <c r="A36" s="16" t="s">
        <v>76</v>
      </c>
      <c r="B36" s="25">
        <v>0</v>
      </c>
      <c r="C36" s="27">
        <v>0</v>
      </c>
      <c r="D36" s="26" t="str">
        <f t="shared" si="0"/>
        <v>   </v>
      </c>
      <c r="E36" s="50">
        <f t="shared" si="1"/>
        <v>0</v>
      </c>
    </row>
    <row r="37" spans="1:5" ht="25.5" customHeight="1">
      <c r="A37" s="16" t="s">
        <v>47</v>
      </c>
      <c r="B37" s="25">
        <v>0</v>
      </c>
      <c r="C37" s="27">
        <v>0</v>
      </c>
      <c r="D37" s="26" t="str">
        <f t="shared" si="0"/>
        <v>   </v>
      </c>
      <c r="E37" s="50">
        <f t="shared" si="1"/>
        <v>0</v>
      </c>
    </row>
    <row r="38" spans="1:5" ht="24" customHeight="1">
      <c r="A38" s="165" t="s">
        <v>14</v>
      </c>
      <c r="B38" s="169">
        <f>SUM(B27:B32,B26,B34,B36:B37)</f>
        <v>20225200</v>
      </c>
      <c r="C38" s="169">
        <f>SUM(C27:C32,C26,C34,C36:C37)</f>
        <v>6924014.609999999</v>
      </c>
      <c r="D38" s="167">
        <f t="shared" si="0"/>
        <v>34.2345915491565</v>
      </c>
      <c r="E38" s="168">
        <f t="shared" si="1"/>
        <v>-13301185.39</v>
      </c>
    </row>
    <row r="39" spans="1:5" ht="16.5" customHeight="1">
      <c r="A39" s="30" t="s">
        <v>66</v>
      </c>
      <c r="B39" s="24"/>
      <c r="C39" s="25"/>
      <c r="D39" s="26" t="str">
        <f t="shared" si="0"/>
        <v>   </v>
      </c>
      <c r="E39" s="50"/>
    </row>
    <row r="40" spans="1:5" ht="12.75">
      <c r="A40" s="22" t="s">
        <v>15</v>
      </c>
      <c r="B40" s="52"/>
      <c r="C40" s="53"/>
      <c r="D40" s="26" t="str">
        <f t="shared" si="0"/>
        <v>   </v>
      </c>
      <c r="E40" s="50"/>
    </row>
    <row r="41" spans="1:5" ht="12.75">
      <c r="A41" s="16" t="s">
        <v>48</v>
      </c>
      <c r="B41" s="25">
        <v>2046070</v>
      </c>
      <c r="C41" s="25">
        <v>791767.69</v>
      </c>
      <c r="D41" s="26">
        <f t="shared" si="0"/>
        <v>38.69699912515212</v>
      </c>
      <c r="E41" s="50">
        <f t="shared" si="1"/>
        <v>-1254302.31</v>
      </c>
    </row>
    <row r="42" spans="1:5" ht="16.5" customHeight="1">
      <c r="A42" s="16" t="s">
        <v>49</v>
      </c>
      <c r="B42" s="25">
        <v>1881070</v>
      </c>
      <c r="C42" s="27">
        <v>764515.54</v>
      </c>
      <c r="D42" s="26">
        <f t="shared" si="0"/>
        <v>40.64258852674276</v>
      </c>
      <c r="E42" s="50">
        <f t="shared" si="1"/>
        <v>-1116554.46</v>
      </c>
    </row>
    <row r="43" spans="1:5" ht="12.75">
      <c r="A43" s="119" t="s">
        <v>259</v>
      </c>
      <c r="B43" s="25">
        <v>1211400</v>
      </c>
      <c r="C43" s="128">
        <v>496465.24</v>
      </c>
      <c r="D43" s="26">
        <f t="shared" si="0"/>
        <v>40.9827670463926</v>
      </c>
      <c r="E43" s="50">
        <f t="shared" si="1"/>
        <v>-714934.76</v>
      </c>
    </row>
    <row r="44" spans="1:5" ht="12.75">
      <c r="A44" s="16" t="s">
        <v>212</v>
      </c>
      <c r="B44" s="25">
        <v>800</v>
      </c>
      <c r="C44" s="28">
        <v>0</v>
      </c>
      <c r="D44" s="26">
        <f t="shared" si="0"/>
        <v>0</v>
      </c>
      <c r="E44" s="50">
        <f t="shared" si="1"/>
        <v>-800</v>
      </c>
    </row>
    <row r="45" spans="1:5" ht="12.75">
      <c r="A45" s="16" t="s">
        <v>166</v>
      </c>
      <c r="B45" s="25">
        <v>50000</v>
      </c>
      <c r="C45" s="28">
        <v>0</v>
      </c>
      <c r="D45" s="26">
        <f t="shared" si="0"/>
        <v>0</v>
      </c>
      <c r="E45" s="50">
        <f t="shared" si="1"/>
        <v>-50000</v>
      </c>
    </row>
    <row r="46" spans="1:5" ht="12.75">
      <c r="A46" s="16" t="s">
        <v>71</v>
      </c>
      <c r="B46" s="194">
        <f>SUM(B47,)</f>
        <v>115000</v>
      </c>
      <c r="C46" s="194">
        <f>SUM(C47,)</f>
        <v>27252.15</v>
      </c>
      <c r="D46" s="26">
        <f t="shared" si="0"/>
        <v>23.697521739130437</v>
      </c>
      <c r="E46" s="50">
        <f t="shared" si="1"/>
        <v>-87747.85</v>
      </c>
    </row>
    <row r="47" spans="1:5" ht="25.5">
      <c r="A47" s="16" t="s">
        <v>90</v>
      </c>
      <c r="B47" s="25">
        <v>115000</v>
      </c>
      <c r="C47" s="25">
        <v>27252.15</v>
      </c>
      <c r="D47" s="26">
        <f t="shared" si="0"/>
        <v>23.697521739130437</v>
      </c>
      <c r="E47" s="50">
        <f t="shared" si="1"/>
        <v>-87747.85</v>
      </c>
    </row>
    <row r="48" spans="1:5" ht="12.75">
      <c r="A48" s="16" t="s">
        <v>67</v>
      </c>
      <c r="B48" s="195">
        <f>SUM(B49)</f>
        <v>229500</v>
      </c>
      <c r="C48" s="195">
        <f>SUM(C49)</f>
        <v>91378.14</v>
      </c>
      <c r="D48" s="26">
        <f t="shared" si="0"/>
        <v>39.81618300653595</v>
      </c>
      <c r="E48" s="50">
        <f t="shared" si="1"/>
        <v>-138121.86</v>
      </c>
    </row>
    <row r="49" spans="1:5" ht="27" customHeight="1">
      <c r="A49" s="16" t="s">
        <v>207</v>
      </c>
      <c r="B49" s="25">
        <v>229500</v>
      </c>
      <c r="C49" s="27">
        <v>91378.14</v>
      </c>
      <c r="D49" s="26">
        <f t="shared" si="0"/>
        <v>39.81618300653595</v>
      </c>
      <c r="E49" s="50">
        <f t="shared" si="1"/>
        <v>-138121.86</v>
      </c>
    </row>
    <row r="50" spans="1:5" ht="18.75" customHeight="1">
      <c r="A50" s="16" t="s">
        <v>50</v>
      </c>
      <c r="B50" s="117">
        <v>240500</v>
      </c>
      <c r="C50" s="25">
        <v>58408.83</v>
      </c>
      <c r="D50" s="26">
        <f t="shared" si="0"/>
        <v>24.2864158004158</v>
      </c>
      <c r="E50" s="50">
        <f t="shared" si="1"/>
        <v>-182091.16999999998</v>
      </c>
    </row>
    <row r="51" spans="1:5" ht="27" customHeight="1">
      <c r="A51" s="16" t="s">
        <v>146</v>
      </c>
      <c r="B51" s="117">
        <v>180500</v>
      </c>
      <c r="C51" s="27">
        <v>48787.45</v>
      </c>
      <c r="D51" s="26">
        <f t="shared" si="0"/>
        <v>27.029058171745152</v>
      </c>
      <c r="E51" s="50">
        <f t="shared" si="1"/>
        <v>-131712.55</v>
      </c>
    </row>
    <row r="52" spans="1:5" ht="16.5" customHeight="1">
      <c r="A52" s="16" t="s">
        <v>167</v>
      </c>
      <c r="B52" s="117">
        <v>172500</v>
      </c>
      <c r="C52" s="27">
        <v>58408.83</v>
      </c>
      <c r="D52" s="59">
        <f t="shared" si="0"/>
        <v>33.86019130434782</v>
      </c>
      <c r="E52" s="60">
        <f t="shared" si="1"/>
        <v>-114091.17</v>
      </c>
    </row>
    <row r="53" spans="1:5" ht="14.25" customHeight="1">
      <c r="A53" s="16" t="s">
        <v>259</v>
      </c>
      <c r="B53" s="117">
        <v>122000</v>
      </c>
      <c r="C53" s="27">
        <v>38783.72</v>
      </c>
      <c r="D53" s="26">
        <f t="shared" si="0"/>
        <v>31.78993442622951</v>
      </c>
      <c r="E53" s="50">
        <f t="shared" si="1"/>
        <v>-83216.28</v>
      </c>
    </row>
    <row r="54" spans="1:5" ht="17.25" customHeight="1">
      <c r="A54" s="16" t="s">
        <v>296</v>
      </c>
      <c r="B54" s="117">
        <v>60000</v>
      </c>
      <c r="C54" s="61">
        <v>0</v>
      </c>
      <c r="D54" s="59">
        <f t="shared" si="0"/>
        <v>0</v>
      </c>
      <c r="E54" s="60">
        <f t="shared" si="1"/>
        <v>-60000</v>
      </c>
    </row>
    <row r="55" spans="1:5" ht="12.75">
      <c r="A55" s="16" t="s">
        <v>51</v>
      </c>
      <c r="B55" s="25">
        <v>0</v>
      </c>
      <c r="C55" s="25">
        <v>0</v>
      </c>
      <c r="D55" s="26" t="str">
        <f t="shared" si="0"/>
        <v>   </v>
      </c>
      <c r="E55" s="50">
        <f t="shared" si="1"/>
        <v>0</v>
      </c>
    </row>
    <row r="56" spans="1:5" ht="14.25" customHeight="1">
      <c r="A56" s="16" t="s">
        <v>61</v>
      </c>
      <c r="B56" s="25">
        <v>0</v>
      </c>
      <c r="C56" s="25">
        <v>0</v>
      </c>
      <c r="D56" s="26" t="str">
        <f t="shared" si="0"/>
        <v>   </v>
      </c>
      <c r="E56" s="50">
        <f t="shared" si="1"/>
        <v>0</v>
      </c>
    </row>
    <row r="57" spans="1:5" ht="12.75">
      <c r="A57" s="16" t="s">
        <v>62</v>
      </c>
      <c r="B57" s="25">
        <v>0</v>
      </c>
      <c r="C57" s="25">
        <v>0</v>
      </c>
      <c r="D57" s="26" t="str">
        <f t="shared" si="0"/>
        <v>   </v>
      </c>
      <c r="E57" s="50">
        <f t="shared" si="1"/>
        <v>0</v>
      </c>
    </row>
    <row r="58" spans="1:5" ht="14.25" customHeight="1">
      <c r="A58" s="16" t="s">
        <v>16</v>
      </c>
      <c r="B58" s="194">
        <f>SUM(B59,B63,B68)</f>
        <v>8408537.21</v>
      </c>
      <c r="C58" s="194">
        <f>SUM(C59,C63,C68)</f>
        <v>3575224.49</v>
      </c>
      <c r="D58" s="26">
        <f t="shared" si="0"/>
        <v>42.51898279938753</v>
      </c>
      <c r="E58" s="50">
        <f t="shared" si="1"/>
        <v>-4833312.720000001</v>
      </c>
    </row>
    <row r="59" spans="1:5" ht="12.75">
      <c r="A59" s="120" t="s">
        <v>17</v>
      </c>
      <c r="B59" s="199">
        <f>SUM(B60:B62)</f>
        <v>785830</v>
      </c>
      <c r="C59" s="199">
        <f>SUM(C60:C62)</f>
        <v>352630</v>
      </c>
      <c r="D59" s="26">
        <f t="shared" si="0"/>
        <v>44.87357316467938</v>
      </c>
      <c r="E59" s="50">
        <f t="shared" si="1"/>
        <v>-433200</v>
      </c>
    </row>
    <row r="60" spans="1:5" ht="12.75">
      <c r="A60" s="16" t="s">
        <v>172</v>
      </c>
      <c r="B60" s="25">
        <v>433200</v>
      </c>
      <c r="C60" s="27">
        <v>0</v>
      </c>
      <c r="D60" s="26">
        <f t="shared" si="0"/>
        <v>0</v>
      </c>
      <c r="E60" s="50">
        <f t="shared" si="1"/>
        <v>-433200</v>
      </c>
    </row>
    <row r="61" spans="1:5" ht="25.5">
      <c r="A61" s="16" t="s">
        <v>297</v>
      </c>
      <c r="B61" s="25">
        <v>352630</v>
      </c>
      <c r="C61" s="27">
        <v>352630</v>
      </c>
      <c r="D61" s="26">
        <f t="shared" si="0"/>
        <v>100</v>
      </c>
      <c r="E61" s="50">
        <f t="shared" si="1"/>
        <v>0</v>
      </c>
    </row>
    <row r="62" spans="1:5" ht="12.75">
      <c r="A62" s="16" t="s">
        <v>159</v>
      </c>
      <c r="B62" s="25">
        <v>0</v>
      </c>
      <c r="C62" s="27">
        <v>0</v>
      </c>
      <c r="D62" s="26" t="str">
        <f t="shared" si="0"/>
        <v>   </v>
      </c>
      <c r="E62" s="50">
        <f t="shared" si="1"/>
        <v>0</v>
      </c>
    </row>
    <row r="63" spans="1:5" ht="12.75">
      <c r="A63" s="120" t="s">
        <v>91</v>
      </c>
      <c r="B63" s="199">
        <f>SUM(B64,B66,B67,)</f>
        <v>2248707.21</v>
      </c>
      <c r="C63" s="199">
        <f>SUM(C64,C66,C67,)</f>
        <v>248286.58</v>
      </c>
      <c r="D63" s="26">
        <f t="shared" si="0"/>
        <v>11.041303149466044</v>
      </c>
      <c r="E63" s="50">
        <f t="shared" si="1"/>
        <v>-2000420.63</v>
      </c>
    </row>
    <row r="64" spans="1:5" ht="12.75">
      <c r="A64" s="119" t="s">
        <v>284</v>
      </c>
      <c r="B64" s="117">
        <v>748707.21</v>
      </c>
      <c r="C64" s="117">
        <v>248286.58</v>
      </c>
      <c r="D64" s="26">
        <f t="shared" si="0"/>
        <v>33.16203940389462</v>
      </c>
      <c r="E64" s="50">
        <f t="shared" si="1"/>
        <v>-500420.63</v>
      </c>
    </row>
    <row r="65" spans="1:5" ht="12.75">
      <c r="A65" s="201" t="s">
        <v>92</v>
      </c>
      <c r="B65" s="202">
        <v>31707.21</v>
      </c>
      <c r="C65" s="202">
        <v>31707.21</v>
      </c>
      <c r="D65" s="203">
        <f t="shared" si="0"/>
        <v>100</v>
      </c>
      <c r="E65" s="204">
        <f t="shared" si="1"/>
        <v>0</v>
      </c>
    </row>
    <row r="66" spans="1:5" ht="56.25" customHeight="1">
      <c r="A66" s="17" t="s">
        <v>263</v>
      </c>
      <c r="B66" s="25">
        <v>500000</v>
      </c>
      <c r="C66" s="25">
        <v>0</v>
      </c>
      <c r="D66" s="26">
        <f t="shared" si="0"/>
        <v>0</v>
      </c>
      <c r="E66" s="50">
        <f t="shared" si="1"/>
        <v>-500000</v>
      </c>
    </row>
    <row r="67" spans="1:5" ht="55.5" customHeight="1">
      <c r="A67" s="17" t="s">
        <v>263</v>
      </c>
      <c r="B67" s="25">
        <v>1000000</v>
      </c>
      <c r="C67" s="25">
        <v>0</v>
      </c>
      <c r="D67" s="26">
        <f t="shared" si="0"/>
        <v>0</v>
      </c>
      <c r="E67" s="50">
        <f t="shared" si="1"/>
        <v>-1000000</v>
      </c>
    </row>
    <row r="68" spans="1:5" ht="12.75">
      <c r="A68" s="120" t="s">
        <v>89</v>
      </c>
      <c r="B68" s="121">
        <v>5374000</v>
      </c>
      <c r="C68" s="121">
        <v>2974307.91</v>
      </c>
      <c r="D68" s="26">
        <f t="shared" si="0"/>
        <v>55.34625809452922</v>
      </c>
      <c r="E68" s="50">
        <f t="shared" si="1"/>
        <v>-2399692.09</v>
      </c>
    </row>
    <row r="69" spans="1:5" ht="12.75">
      <c r="A69" s="16" t="s">
        <v>93</v>
      </c>
      <c r="B69" s="25">
        <v>2300000</v>
      </c>
      <c r="C69" s="27">
        <v>917446.18</v>
      </c>
      <c r="D69" s="26">
        <f t="shared" si="0"/>
        <v>39.88896434782609</v>
      </c>
      <c r="E69" s="50">
        <f t="shared" si="1"/>
        <v>-1382553.8199999998</v>
      </c>
    </row>
    <row r="70" spans="1:5" ht="25.5">
      <c r="A70" s="16" t="s">
        <v>300</v>
      </c>
      <c r="B70" s="25">
        <v>1100000</v>
      </c>
      <c r="C70" s="33">
        <v>946886.16</v>
      </c>
      <c r="D70" s="26">
        <f t="shared" si="0"/>
        <v>86.08056</v>
      </c>
      <c r="E70" s="50">
        <f t="shared" si="1"/>
        <v>-153113.83999999997</v>
      </c>
    </row>
    <row r="71" spans="1:5" ht="12.75">
      <c r="A71" s="16" t="s">
        <v>94</v>
      </c>
      <c r="B71" s="25">
        <v>300000</v>
      </c>
      <c r="C71" s="27">
        <v>294000</v>
      </c>
      <c r="D71" s="26">
        <f aca="true" t="shared" si="2" ref="D71:D91">IF(B71=0,"   ",C71/B71*100)</f>
        <v>98</v>
      </c>
      <c r="E71" s="50">
        <f t="shared" si="1"/>
        <v>-6000</v>
      </c>
    </row>
    <row r="72" spans="1:5" ht="12.75">
      <c r="A72" s="16" t="s">
        <v>95</v>
      </c>
      <c r="B72" s="25">
        <v>100000</v>
      </c>
      <c r="C72" s="27">
        <v>90173.83</v>
      </c>
      <c r="D72" s="26">
        <f t="shared" si="2"/>
        <v>90.17383</v>
      </c>
      <c r="E72" s="50">
        <f t="shared" si="1"/>
        <v>-9826.169999999998</v>
      </c>
    </row>
    <row r="73" spans="1:5" ht="12.75">
      <c r="A73" s="16" t="s">
        <v>96</v>
      </c>
      <c r="B73" s="25">
        <v>1534000</v>
      </c>
      <c r="C73" s="27">
        <v>722763.81</v>
      </c>
      <c r="D73" s="26">
        <f t="shared" si="2"/>
        <v>47.11628487614081</v>
      </c>
      <c r="E73" s="50">
        <f t="shared" si="1"/>
        <v>-811236.19</v>
      </c>
    </row>
    <row r="74" spans="1:5" ht="14.25" customHeight="1">
      <c r="A74" s="48" t="s">
        <v>161</v>
      </c>
      <c r="B74" s="25">
        <v>40000</v>
      </c>
      <c r="C74" s="27">
        <v>3037.93</v>
      </c>
      <c r="D74" s="26">
        <f t="shared" si="2"/>
        <v>7.594824999999999</v>
      </c>
      <c r="E74" s="50">
        <f t="shared" si="1"/>
        <v>-36962.07</v>
      </c>
    </row>
    <row r="75" spans="1:5" ht="15.75" customHeight="1">
      <c r="A75" s="18" t="s">
        <v>24</v>
      </c>
      <c r="B75" s="31">
        <v>20000</v>
      </c>
      <c r="C75" s="31">
        <v>0</v>
      </c>
      <c r="D75" s="26">
        <f t="shared" si="2"/>
        <v>0</v>
      </c>
      <c r="E75" s="50">
        <f t="shared" si="1"/>
        <v>-20000</v>
      </c>
    </row>
    <row r="76" spans="1:5" ht="12.75">
      <c r="A76" s="16" t="s">
        <v>54</v>
      </c>
      <c r="B76" s="192">
        <f>B77</f>
        <v>6336600</v>
      </c>
      <c r="C76" s="192">
        <f>C77</f>
        <v>2432771.8</v>
      </c>
      <c r="D76" s="26">
        <f t="shared" si="2"/>
        <v>38.39238392828961</v>
      </c>
      <c r="E76" s="50">
        <f t="shared" si="1"/>
        <v>-3903828.2</v>
      </c>
    </row>
    <row r="77" spans="1:5" ht="12.75">
      <c r="A77" s="16" t="s">
        <v>55</v>
      </c>
      <c r="B77" s="25">
        <v>6336600</v>
      </c>
      <c r="C77" s="33">
        <v>2432771.8</v>
      </c>
      <c r="D77" s="26">
        <f t="shared" si="2"/>
        <v>38.39238392828961</v>
      </c>
      <c r="E77" s="50">
        <f t="shared" si="1"/>
        <v>-3903828.2</v>
      </c>
    </row>
    <row r="78" spans="1:5" ht="15.75" customHeight="1">
      <c r="A78" s="119" t="s">
        <v>259</v>
      </c>
      <c r="B78" s="25">
        <v>2967600</v>
      </c>
      <c r="C78" s="27">
        <v>1257250.35</v>
      </c>
      <c r="D78" s="26">
        <f t="shared" si="2"/>
        <v>42.365896684189245</v>
      </c>
      <c r="E78" s="50">
        <f t="shared" si="1"/>
        <v>-1710349.65</v>
      </c>
    </row>
    <row r="79" spans="1:5" ht="14.25" customHeight="1">
      <c r="A79" s="16" t="s">
        <v>208</v>
      </c>
      <c r="B79" s="25">
        <v>7500</v>
      </c>
      <c r="C79" s="27">
        <v>0</v>
      </c>
      <c r="D79" s="26">
        <f t="shared" si="2"/>
        <v>0</v>
      </c>
      <c r="E79" s="50">
        <f t="shared" si="1"/>
        <v>-7500</v>
      </c>
    </row>
    <row r="80" spans="1:5" ht="12.75">
      <c r="A80" s="16" t="s">
        <v>266</v>
      </c>
      <c r="B80" s="194">
        <f>SUM(B81,)</f>
        <v>150000</v>
      </c>
      <c r="C80" s="194">
        <f>SUM(C81,)</f>
        <v>65362.62</v>
      </c>
      <c r="D80" s="26">
        <f t="shared" si="2"/>
        <v>43.57508</v>
      </c>
      <c r="E80" s="50">
        <f t="shared" si="1"/>
        <v>-84637.38</v>
      </c>
    </row>
    <row r="81" spans="1:5" ht="14.25" customHeight="1">
      <c r="A81" s="16" t="s">
        <v>56</v>
      </c>
      <c r="B81" s="25">
        <v>150000</v>
      </c>
      <c r="C81" s="28">
        <v>65362.62</v>
      </c>
      <c r="D81" s="26">
        <f t="shared" si="2"/>
        <v>43.57508</v>
      </c>
      <c r="E81" s="50">
        <f t="shared" si="1"/>
        <v>-84637.38</v>
      </c>
    </row>
    <row r="82" spans="1:5" ht="15.75" customHeight="1">
      <c r="A82" s="16" t="s">
        <v>18</v>
      </c>
      <c r="B82" s="194">
        <f>B83</f>
        <v>4243892.79</v>
      </c>
      <c r="C82" s="194">
        <f>C83</f>
        <v>15150</v>
      </c>
      <c r="D82" s="26">
        <f t="shared" si="2"/>
        <v>0.35698357026592087</v>
      </c>
      <c r="E82" s="50">
        <f t="shared" si="1"/>
        <v>-4228742.79</v>
      </c>
    </row>
    <row r="83" spans="1:5" ht="15.75" customHeight="1">
      <c r="A83" s="16" t="s">
        <v>276</v>
      </c>
      <c r="B83" s="194">
        <f>SUM(B84,B85,B86)</f>
        <v>4243892.79</v>
      </c>
      <c r="C83" s="194">
        <f>SUM(C84,C85,C86)</f>
        <v>15150</v>
      </c>
      <c r="D83" s="26"/>
      <c r="E83" s="50"/>
    </row>
    <row r="84" spans="1:5" ht="12.75">
      <c r="A84" s="16" t="s">
        <v>298</v>
      </c>
      <c r="B84" s="25">
        <v>168292.79</v>
      </c>
      <c r="C84" s="27">
        <v>15150</v>
      </c>
      <c r="D84" s="26">
        <f t="shared" si="2"/>
        <v>9.002168185577053</v>
      </c>
      <c r="E84" s="50">
        <f t="shared" si="1"/>
        <v>-153142.79</v>
      </c>
    </row>
    <row r="85" spans="1:5" ht="38.25" customHeight="1">
      <c r="A85" s="120" t="s">
        <v>214</v>
      </c>
      <c r="B85" s="121">
        <v>1484900</v>
      </c>
      <c r="C85" s="122">
        <v>0</v>
      </c>
      <c r="D85" s="26">
        <f t="shared" si="2"/>
        <v>0</v>
      </c>
      <c r="E85" s="50">
        <f t="shared" si="1"/>
        <v>-1484900</v>
      </c>
    </row>
    <row r="86" spans="1:5" ht="25.5" customHeight="1">
      <c r="A86" s="120" t="s">
        <v>283</v>
      </c>
      <c r="B86" s="199">
        <f>SUM(B87:B89)</f>
        <v>2590700</v>
      </c>
      <c r="C86" s="199">
        <f>SUM(C87:C89)</f>
        <v>0</v>
      </c>
      <c r="D86" s="26">
        <f t="shared" si="2"/>
        <v>0</v>
      </c>
      <c r="E86" s="50">
        <f t="shared" si="1"/>
        <v>-2590700</v>
      </c>
    </row>
    <row r="87" spans="1:5" ht="13.5" customHeight="1">
      <c r="A87" s="48" t="s">
        <v>287</v>
      </c>
      <c r="B87" s="121">
        <v>0</v>
      </c>
      <c r="C87" s="122">
        <v>0</v>
      </c>
      <c r="D87" s="26"/>
      <c r="E87" s="50"/>
    </row>
    <row r="88" spans="1:5" ht="11.25" customHeight="1">
      <c r="A88" s="48" t="s">
        <v>288</v>
      </c>
      <c r="B88" s="121">
        <v>2505700</v>
      </c>
      <c r="C88" s="122">
        <v>0</v>
      </c>
      <c r="D88" s="26"/>
      <c r="E88" s="50"/>
    </row>
    <row r="89" spans="1:5" ht="14.25" customHeight="1">
      <c r="A89" s="48" t="s">
        <v>289</v>
      </c>
      <c r="B89" s="126">
        <v>85000</v>
      </c>
      <c r="C89" s="122">
        <v>0</v>
      </c>
      <c r="D89" s="26"/>
      <c r="E89" s="50"/>
    </row>
    <row r="90" spans="1:5" ht="17.25" customHeight="1">
      <c r="A90" s="165" t="s">
        <v>19</v>
      </c>
      <c r="B90" s="169">
        <f>SUM(B41,B48,B50,B55,B58,B75,B76,B80,B82,)</f>
        <v>21675100</v>
      </c>
      <c r="C90" s="169">
        <f>SUM(C41,C48,C50,C55,C58,C75,C76,C80,C82,)</f>
        <v>7030063.57</v>
      </c>
      <c r="D90" s="167">
        <f t="shared" si="2"/>
        <v>32.433823004276796</v>
      </c>
      <c r="E90" s="168">
        <f t="shared" si="1"/>
        <v>-14645036.43</v>
      </c>
    </row>
    <row r="91" spans="1:5" ht="13.5" thickBot="1">
      <c r="A91" s="99" t="s">
        <v>262</v>
      </c>
      <c r="B91" s="213">
        <f>B43+B53+B78</f>
        <v>4301000</v>
      </c>
      <c r="C91" s="213">
        <f>C43+C53+C78</f>
        <v>1792499.31</v>
      </c>
      <c r="D91" s="100">
        <f t="shared" si="2"/>
        <v>41.67633829342014</v>
      </c>
      <c r="E91" s="101">
        <f t="shared" si="1"/>
        <v>-2508500.69</v>
      </c>
    </row>
    <row r="92" spans="1:5" ht="45.75" customHeight="1">
      <c r="A92" s="111" t="s">
        <v>317</v>
      </c>
      <c r="B92" s="111"/>
      <c r="C92" s="235"/>
      <c r="D92" s="235"/>
      <c r="E92" s="235"/>
    </row>
    <row r="93" spans="1:5" ht="14.25">
      <c r="A93" s="111" t="s">
        <v>318</v>
      </c>
      <c r="B93" s="111"/>
      <c r="C93" s="112" t="s">
        <v>319</v>
      </c>
      <c r="D93" s="113"/>
      <c r="E93" s="114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</sheetData>
  <mergeCells count="2">
    <mergeCell ref="A1:E1"/>
    <mergeCell ref="C92:E92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6"/>
  <sheetViews>
    <sheetView zoomScale="75" zoomScaleNormal="75" workbookViewId="0" topLeftCell="A67">
      <selection activeCell="A91" sqref="A91:E92"/>
    </sheetView>
  </sheetViews>
  <sheetFormatPr defaultColWidth="9.00390625" defaultRowHeight="12.75"/>
  <cols>
    <col min="1" max="1" width="97.625" style="0" customWidth="1"/>
    <col min="2" max="2" width="18.75390625" style="0" customWidth="1"/>
    <col min="3" max="3" width="19.375" style="0" customWidth="1"/>
    <col min="4" max="4" width="19.75390625" style="0" customWidth="1"/>
    <col min="5" max="5" width="19.25390625" style="0" customWidth="1"/>
  </cols>
  <sheetData>
    <row r="1" spans="1:5" ht="18">
      <c r="A1" s="237" t="s">
        <v>306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56.25" customHeight="1">
      <c r="A4" s="35" t="s">
        <v>1</v>
      </c>
      <c r="B4" s="19" t="s">
        <v>240</v>
      </c>
      <c r="C4" s="32" t="s">
        <v>303</v>
      </c>
      <c r="D4" s="19" t="s">
        <v>250</v>
      </c>
      <c r="E4" s="102" t="s">
        <v>252</v>
      </c>
    </row>
    <row r="5" spans="1:5" ht="12.75">
      <c r="A5" s="13">
        <v>1</v>
      </c>
      <c r="B5" s="98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2">
        <f>SUM(B8)</f>
        <v>118200</v>
      </c>
      <c r="C7" s="192">
        <f>SUM(C8)</f>
        <v>21370.04</v>
      </c>
      <c r="D7" s="26">
        <f aca="true" t="shared" si="0" ref="D7:D70">IF(B7=0,"   ",C7/B7*100)</f>
        <v>18.079560067681896</v>
      </c>
      <c r="E7" s="50">
        <f aca="true" t="shared" si="1" ref="E7:E90">C7-B7</f>
        <v>-96829.95999999999</v>
      </c>
    </row>
    <row r="8" spans="1:5" ht="12.75">
      <c r="A8" s="16" t="s">
        <v>57</v>
      </c>
      <c r="B8" s="25">
        <v>118200</v>
      </c>
      <c r="C8" s="27">
        <v>21370.04</v>
      </c>
      <c r="D8" s="26">
        <f t="shared" si="0"/>
        <v>18.079560067681896</v>
      </c>
      <c r="E8" s="50">
        <f t="shared" si="1"/>
        <v>-96829.95999999999</v>
      </c>
    </row>
    <row r="9" spans="1:5" ht="12.75">
      <c r="A9" s="16" t="s">
        <v>7</v>
      </c>
      <c r="B9" s="194">
        <f>SUM(B10:B10)</f>
        <v>6000</v>
      </c>
      <c r="C9" s="194">
        <f>SUM(C10:C10)</f>
        <v>1634.25</v>
      </c>
      <c r="D9" s="26">
        <f t="shared" si="0"/>
        <v>27.237499999999997</v>
      </c>
      <c r="E9" s="50">
        <f t="shared" si="1"/>
        <v>-4365.75</v>
      </c>
    </row>
    <row r="10" spans="1:5" ht="12.75">
      <c r="A10" s="16" t="s">
        <v>38</v>
      </c>
      <c r="B10" s="25">
        <v>6000</v>
      </c>
      <c r="C10" s="27">
        <v>1634.25</v>
      </c>
      <c r="D10" s="26">
        <f t="shared" si="0"/>
        <v>27.237499999999997</v>
      </c>
      <c r="E10" s="50">
        <f t="shared" si="1"/>
        <v>-4365.75</v>
      </c>
    </row>
    <row r="11" spans="1:5" ht="12.75">
      <c r="A11" s="16" t="s">
        <v>9</v>
      </c>
      <c r="B11" s="194">
        <f>SUM(B12:B13)</f>
        <v>169400</v>
      </c>
      <c r="C11" s="194">
        <f>SUM(C12:C13)</f>
        <v>26771.629999999997</v>
      </c>
      <c r="D11" s="26">
        <f t="shared" si="0"/>
        <v>15.803795749704838</v>
      </c>
      <c r="E11" s="50">
        <f t="shared" si="1"/>
        <v>-142628.37</v>
      </c>
    </row>
    <row r="12" spans="1:5" ht="12.75">
      <c r="A12" s="16" t="s">
        <v>39</v>
      </c>
      <c r="B12" s="25">
        <v>70100</v>
      </c>
      <c r="C12" s="27">
        <v>11805.91</v>
      </c>
      <c r="D12" s="26">
        <f t="shared" si="0"/>
        <v>16.841526390870186</v>
      </c>
      <c r="E12" s="50">
        <f t="shared" si="1"/>
        <v>-58294.09</v>
      </c>
    </row>
    <row r="13" spans="1:5" ht="12.75">
      <c r="A13" s="16" t="s">
        <v>10</v>
      </c>
      <c r="B13" s="25">
        <v>99300</v>
      </c>
      <c r="C13" s="27">
        <v>14965.72</v>
      </c>
      <c r="D13" s="26">
        <f t="shared" si="0"/>
        <v>15.071218529707956</v>
      </c>
      <c r="E13" s="50">
        <f t="shared" si="1"/>
        <v>-84334.28</v>
      </c>
    </row>
    <row r="14" spans="1:5" ht="25.5">
      <c r="A14" s="16" t="s">
        <v>149</v>
      </c>
      <c r="B14" s="25">
        <v>0</v>
      </c>
      <c r="C14" s="27">
        <v>0</v>
      </c>
      <c r="D14" s="26" t="str">
        <f t="shared" si="0"/>
        <v>   </v>
      </c>
      <c r="E14" s="50">
        <f t="shared" si="1"/>
        <v>0</v>
      </c>
    </row>
    <row r="15" spans="1:5" ht="29.25" customHeight="1">
      <c r="A15" s="16" t="s">
        <v>40</v>
      </c>
      <c r="B15" s="194">
        <f>SUM(B16:B17)</f>
        <v>7000</v>
      </c>
      <c r="C15" s="192">
        <f>SUM(C16:C17)</f>
        <v>6531.53</v>
      </c>
      <c r="D15" s="26">
        <f t="shared" si="0"/>
        <v>93.30757142857142</v>
      </c>
      <c r="E15" s="50">
        <f t="shared" si="1"/>
        <v>-468.47000000000025</v>
      </c>
    </row>
    <row r="16" spans="1:5" ht="12.75">
      <c r="A16" s="16" t="s">
        <v>41</v>
      </c>
      <c r="B16" s="25">
        <v>7000</v>
      </c>
      <c r="C16" s="27">
        <v>4636.67</v>
      </c>
      <c r="D16" s="26">
        <f t="shared" si="0"/>
        <v>66.23814285714286</v>
      </c>
      <c r="E16" s="50">
        <f t="shared" si="1"/>
        <v>-2363.33</v>
      </c>
    </row>
    <row r="17" spans="1:5" ht="25.5" customHeight="1">
      <c r="A17" s="16" t="s">
        <v>42</v>
      </c>
      <c r="B17" s="25">
        <v>0</v>
      </c>
      <c r="C17" s="27">
        <v>1894.86</v>
      </c>
      <c r="D17" s="26" t="str">
        <f t="shared" si="0"/>
        <v>   </v>
      </c>
      <c r="E17" s="50">
        <f t="shared" si="1"/>
        <v>1894.86</v>
      </c>
    </row>
    <row r="18" spans="1:5" ht="18.75" customHeight="1">
      <c r="A18" s="16" t="s">
        <v>118</v>
      </c>
      <c r="B18" s="25">
        <v>0</v>
      </c>
      <c r="C18" s="27">
        <v>0</v>
      </c>
      <c r="D18" s="26" t="str">
        <f t="shared" si="0"/>
        <v>   </v>
      </c>
      <c r="E18" s="50">
        <f t="shared" si="1"/>
        <v>0</v>
      </c>
    </row>
    <row r="19" spans="1:5" ht="17.25" customHeight="1">
      <c r="A19" s="16" t="s">
        <v>106</v>
      </c>
      <c r="B19" s="192">
        <f>B20</f>
        <v>0</v>
      </c>
      <c r="C19" s="192">
        <f>C20</f>
        <v>4261.5</v>
      </c>
      <c r="D19" s="26" t="str">
        <f t="shared" si="0"/>
        <v>   </v>
      </c>
      <c r="E19" s="50">
        <f t="shared" si="1"/>
        <v>4261.5</v>
      </c>
    </row>
    <row r="20" spans="1:5" ht="27.75" customHeight="1">
      <c r="A20" s="16" t="s">
        <v>107</v>
      </c>
      <c r="B20" s="25">
        <v>0</v>
      </c>
      <c r="C20" s="27">
        <v>4261.5</v>
      </c>
      <c r="D20" s="26" t="str">
        <f t="shared" si="0"/>
        <v>   </v>
      </c>
      <c r="E20" s="50">
        <f t="shared" si="1"/>
        <v>4261.5</v>
      </c>
    </row>
    <row r="21" spans="1:5" ht="14.25" customHeight="1">
      <c r="A21" s="16" t="s">
        <v>44</v>
      </c>
      <c r="B21" s="194">
        <f>B22+B23</f>
        <v>0</v>
      </c>
      <c r="C21" s="194">
        <f>SUM(C22:C23)</f>
        <v>5800</v>
      </c>
      <c r="D21" s="26" t="str">
        <f t="shared" si="0"/>
        <v>   </v>
      </c>
      <c r="E21" s="50">
        <f t="shared" si="1"/>
        <v>5800</v>
      </c>
    </row>
    <row r="22" spans="1:5" ht="12.75">
      <c r="A22" s="16" t="s">
        <v>59</v>
      </c>
      <c r="B22" s="25">
        <v>0</v>
      </c>
      <c r="C22" s="25">
        <v>0</v>
      </c>
      <c r="D22" s="26"/>
      <c r="E22" s="50"/>
    </row>
    <row r="23" spans="1:5" ht="12.75">
      <c r="A23" s="16" t="s">
        <v>68</v>
      </c>
      <c r="B23" s="25">
        <v>0</v>
      </c>
      <c r="C23" s="27">
        <v>5800</v>
      </c>
      <c r="D23" s="26" t="str">
        <f t="shared" si="0"/>
        <v>   </v>
      </c>
      <c r="E23" s="50">
        <f t="shared" si="1"/>
        <v>5800</v>
      </c>
    </row>
    <row r="24" spans="1:5" ht="15.75" customHeight="1">
      <c r="A24" s="16" t="s">
        <v>43</v>
      </c>
      <c r="B24" s="25">
        <v>0</v>
      </c>
      <c r="C24" s="25">
        <v>0</v>
      </c>
      <c r="D24" s="26" t="str">
        <f t="shared" si="0"/>
        <v>   </v>
      </c>
      <c r="E24" s="50">
        <f t="shared" si="1"/>
        <v>0</v>
      </c>
    </row>
    <row r="25" spans="1:5" ht="18" customHeight="1">
      <c r="A25" s="165" t="s">
        <v>11</v>
      </c>
      <c r="B25" s="166">
        <f>SUM(B7,B9,B11,B15,B18,B19,B21,B24,B14)</f>
        <v>300600</v>
      </c>
      <c r="C25" s="166">
        <f>SUM(C7,C9,C11,C15,C18,C19,C21,C24,C14)</f>
        <v>66368.95</v>
      </c>
      <c r="D25" s="167">
        <f t="shared" si="0"/>
        <v>22.078825681969395</v>
      </c>
      <c r="E25" s="168">
        <f t="shared" si="1"/>
        <v>-234231.05</v>
      </c>
    </row>
    <row r="26" spans="1:5" ht="18" customHeight="1">
      <c r="A26" s="118" t="s">
        <v>256</v>
      </c>
      <c r="B26" s="51">
        <v>0</v>
      </c>
      <c r="C26" s="51">
        <v>-156561.7</v>
      </c>
      <c r="D26" s="26"/>
      <c r="E26" s="50"/>
    </row>
    <row r="27" spans="1:5" ht="16.5" customHeight="1">
      <c r="A27" s="17" t="s">
        <v>46</v>
      </c>
      <c r="B27" s="24">
        <v>1582300</v>
      </c>
      <c r="C27" s="24">
        <v>760100</v>
      </c>
      <c r="D27" s="26">
        <f t="shared" si="0"/>
        <v>48.03766668773305</v>
      </c>
      <c r="E27" s="50">
        <f t="shared" si="1"/>
        <v>-822200</v>
      </c>
    </row>
    <row r="28" spans="1:5" ht="14.25" customHeight="1">
      <c r="A28" s="16" t="s">
        <v>65</v>
      </c>
      <c r="B28" s="25">
        <v>200000</v>
      </c>
      <c r="C28" s="27">
        <v>0</v>
      </c>
      <c r="D28" s="26">
        <f t="shared" si="0"/>
        <v>0</v>
      </c>
      <c r="E28" s="50">
        <f t="shared" si="1"/>
        <v>-200000</v>
      </c>
    </row>
    <row r="29" spans="1:5" ht="30.75" customHeight="1">
      <c r="A29" s="201" t="s">
        <v>69</v>
      </c>
      <c r="B29" s="202">
        <v>45900</v>
      </c>
      <c r="C29" s="206">
        <v>45900</v>
      </c>
      <c r="D29" s="203">
        <f t="shared" si="0"/>
        <v>100</v>
      </c>
      <c r="E29" s="204">
        <f t="shared" si="1"/>
        <v>0</v>
      </c>
    </row>
    <row r="30" spans="1:5" ht="27" customHeight="1">
      <c r="A30" s="201" t="s">
        <v>70</v>
      </c>
      <c r="B30" s="202">
        <v>100</v>
      </c>
      <c r="C30" s="202">
        <v>100</v>
      </c>
      <c r="D30" s="203">
        <f t="shared" si="0"/>
        <v>100</v>
      </c>
      <c r="E30" s="204">
        <f t="shared" si="1"/>
        <v>0</v>
      </c>
    </row>
    <row r="31" spans="1:5" ht="42.75" customHeight="1">
      <c r="A31" s="16" t="s">
        <v>182</v>
      </c>
      <c r="B31" s="25">
        <v>0</v>
      </c>
      <c r="C31" s="25">
        <v>0</v>
      </c>
      <c r="D31" s="26" t="str">
        <f t="shared" si="0"/>
        <v>   </v>
      </c>
      <c r="E31" s="50">
        <f t="shared" si="1"/>
        <v>0</v>
      </c>
    </row>
    <row r="32" spans="1:5" ht="25.5" customHeight="1">
      <c r="A32" s="16" t="s">
        <v>120</v>
      </c>
      <c r="B32" s="25">
        <v>109400</v>
      </c>
      <c r="C32" s="25">
        <v>0</v>
      </c>
      <c r="D32" s="26">
        <f t="shared" si="0"/>
        <v>0</v>
      </c>
      <c r="E32" s="50">
        <f t="shared" si="1"/>
        <v>-109400</v>
      </c>
    </row>
    <row r="33" spans="1:5" ht="27.75" customHeight="1">
      <c r="A33" s="16" t="s">
        <v>200</v>
      </c>
      <c r="B33" s="25">
        <v>0</v>
      </c>
      <c r="C33" s="25">
        <v>0</v>
      </c>
      <c r="D33" s="26" t="str">
        <f t="shared" si="0"/>
        <v>   </v>
      </c>
      <c r="E33" s="50">
        <f t="shared" si="1"/>
        <v>0</v>
      </c>
    </row>
    <row r="34" spans="1:5" ht="40.5" customHeight="1">
      <c r="A34" s="16" t="s">
        <v>180</v>
      </c>
      <c r="B34" s="25">
        <v>0</v>
      </c>
      <c r="C34" s="25">
        <v>0</v>
      </c>
      <c r="D34" s="26" t="str">
        <f t="shared" si="0"/>
        <v>   </v>
      </c>
      <c r="E34" s="50">
        <f t="shared" si="1"/>
        <v>0</v>
      </c>
    </row>
    <row r="35" spans="1:5" ht="30.75" customHeight="1">
      <c r="A35" s="201" t="s">
        <v>174</v>
      </c>
      <c r="B35" s="202">
        <v>3700</v>
      </c>
      <c r="C35" s="202">
        <v>3700</v>
      </c>
      <c r="D35" s="203">
        <f t="shared" si="0"/>
        <v>100</v>
      </c>
      <c r="E35" s="204">
        <f t="shared" si="1"/>
        <v>0</v>
      </c>
    </row>
    <row r="36" spans="1:5" ht="17.25" customHeight="1">
      <c r="A36" s="16" t="s">
        <v>76</v>
      </c>
      <c r="B36" s="194">
        <f>B37</f>
        <v>225000</v>
      </c>
      <c r="C36" s="194">
        <f>C37</f>
        <v>49995</v>
      </c>
      <c r="D36" s="26">
        <f t="shared" si="0"/>
        <v>22.220000000000002</v>
      </c>
      <c r="E36" s="50">
        <f t="shared" si="1"/>
        <v>-175005</v>
      </c>
    </row>
    <row r="37" spans="1:5" s="7" customFormat="1" ht="14.25" customHeight="1">
      <c r="A37" s="16" t="s">
        <v>211</v>
      </c>
      <c r="B37" s="65">
        <v>225000</v>
      </c>
      <c r="C37" s="25">
        <v>49995</v>
      </c>
      <c r="D37" s="65">
        <f t="shared" si="0"/>
        <v>22.220000000000002</v>
      </c>
      <c r="E37" s="44">
        <f t="shared" si="1"/>
        <v>-175005</v>
      </c>
    </row>
    <row r="38" spans="1:5" ht="18.75" customHeight="1">
      <c r="A38" s="16" t="s">
        <v>47</v>
      </c>
      <c r="B38" s="25">
        <v>0</v>
      </c>
      <c r="C38" s="25">
        <v>0</v>
      </c>
      <c r="D38" s="26" t="str">
        <f t="shared" si="0"/>
        <v>   </v>
      </c>
      <c r="E38" s="50">
        <f t="shared" si="1"/>
        <v>0</v>
      </c>
    </row>
    <row r="39" spans="1:5" ht="23.25" customHeight="1">
      <c r="A39" s="165" t="s">
        <v>14</v>
      </c>
      <c r="B39" s="169">
        <f>SUM(B25,B27,B28,B29:B30,B31,B32,B33,B34,B35,B36,B38)</f>
        <v>2467000</v>
      </c>
      <c r="C39" s="169">
        <f>SUM(C25,C26,C27,C28,C29:C30,C31,C33,C34,C35,C36,C38)</f>
        <v>769602.25</v>
      </c>
      <c r="D39" s="167">
        <f t="shared" si="0"/>
        <v>31.195875557357112</v>
      </c>
      <c r="E39" s="168">
        <f t="shared" si="1"/>
        <v>-1697397.75</v>
      </c>
    </row>
    <row r="40" spans="1:5" ht="12.75">
      <c r="A40" s="22" t="s">
        <v>15</v>
      </c>
      <c r="B40" s="52"/>
      <c r="C40" s="53"/>
      <c r="D40" s="26" t="str">
        <f t="shared" si="0"/>
        <v>   </v>
      </c>
      <c r="E40" s="50">
        <f t="shared" si="1"/>
        <v>0</v>
      </c>
    </row>
    <row r="41" spans="1:5" ht="12.75">
      <c r="A41" s="16" t="s">
        <v>48</v>
      </c>
      <c r="B41" s="25">
        <v>854300</v>
      </c>
      <c r="C41" s="25">
        <v>349208.18</v>
      </c>
      <c r="D41" s="26">
        <f t="shared" si="0"/>
        <v>40.87652815170315</v>
      </c>
      <c r="E41" s="50">
        <f t="shared" si="1"/>
        <v>-505091.82</v>
      </c>
    </row>
    <row r="42" spans="1:5" ht="14.25" customHeight="1">
      <c r="A42" s="16" t="s">
        <v>49</v>
      </c>
      <c r="B42" s="25">
        <v>757800</v>
      </c>
      <c r="C42" s="25">
        <v>349208.18</v>
      </c>
      <c r="D42" s="26">
        <f t="shared" si="0"/>
        <v>46.081839535497494</v>
      </c>
      <c r="E42" s="50">
        <f t="shared" si="1"/>
        <v>-408591.82</v>
      </c>
    </row>
    <row r="43" spans="1:5" ht="12.75">
      <c r="A43" s="119" t="s">
        <v>259</v>
      </c>
      <c r="B43" s="25">
        <v>476900</v>
      </c>
      <c r="C43" s="28">
        <v>216420.11</v>
      </c>
      <c r="D43" s="26">
        <f t="shared" si="0"/>
        <v>45.38060599706437</v>
      </c>
      <c r="E43" s="50">
        <f t="shared" si="1"/>
        <v>-260479.89</v>
      </c>
    </row>
    <row r="44" spans="1:5" ht="12.75">
      <c r="A44" s="16" t="s">
        <v>215</v>
      </c>
      <c r="B44" s="25">
        <v>100</v>
      </c>
      <c r="C44" s="28">
        <v>0</v>
      </c>
      <c r="D44" s="26">
        <f t="shared" si="0"/>
        <v>0</v>
      </c>
      <c r="E44" s="50">
        <f t="shared" si="1"/>
        <v>-100</v>
      </c>
    </row>
    <row r="45" spans="1:5" ht="12.75">
      <c r="A45" s="16" t="s">
        <v>166</v>
      </c>
      <c r="B45" s="25">
        <v>500</v>
      </c>
      <c r="C45" s="27">
        <v>0</v>
      </c>
      <c r="D45" s="26">
        <f t="shared" si="0"/>
        <v>0</v>
      </c>
      <c r="E45" s="50">
        <f t="shared" si="1"/>
        <v>-500</v>
      </c>
    </row>
    <row r="46" spans="1:5" ht="12.75">
      <c r="A46" s="16" t="s">
        <v>71</v>
      </c>
      <c r="B46" s="194">
        <f>B47</f>
        <v>96000</v>
      </c>
      <c r="C46" s="194">
        <f>C47</f>
        <v>0</v>
      </c>
      <c r="D46" s="26">
        <f t="shared" si="0"/>
        <v>0</v>
      </c>
      <c r="E46" s="50">
        <f t="shared" si="1"/>
        <v>-96000</v>
      </c>
    </row>
    <row r="47" spans="1:5" ht="12.75">
      <c r="A47" s="16" t="s">
        <v>90</v>
      </c>
      <c r="B47" s="25">
        <v>96000</v>
      </c>
      <c r="C47" s="27">
        <v>0</v>
      </c>
      <c r="D47" s="26">
        <f t="shared" si="0"/>
        <v>0</v>
      </c>
      <c r="E47" s="50">
        <f t="shared" si="1"/>
        <v>-96000</v>
      </c>
    </row>
    <row r="48" spans="1:5" ht="12.75">
      <c r="A48" s="16" t="s">
        <v>67</v>
      </c>
      <c r="B48" s="195">
        <f>SUM(B49)</f>
        <v>45900</v>
      </c>
      <c r="C48" s="195">
        <f>SUM(C49)</f>
        <v>22557.97</v>
      </c>
      <c r="D48" s="26">
        <f t="shared" si="0"/>
        <v>49.145904139433554</v>
      </c>
      <c r="E48" s="50">
        <f t="shared" si="1"/>
        <v>-23342.03</v>
      </c>
    </row>
    <row r="49" spans="1:5" ht="24.75" customHeight="1">
      <c r="A49" s="16" t="s">
        <v>207</v>
      </c>
      <c r="B49" s="25">
        <v>45900</v>
      </c>
      <c r="C49" s="27">
        <v>22557.97</v>
      </c>
      <c r="D49" s="26">
        <f t="shared" si="0"/>
        <v>49.145904139433554</v>
      </c>
      <c r="E49" s="50">
        <f t="shared" si="1"/>
        <v>-23342.03</v>
      </c>
    </row>
    <row r="50" spans="1:5" ht="14.25" customHeight="1">
      <c r="A50" s="16" t="s">
        <v>50</v>
      </c>
      <c r="B50" s="194">
        <f>SUM(B51)</f>
        <v>600</v>
      </c>
      <c r="C50" s="195">
        <f>SUM(C51)</f>
        <v>0</v>
      </c>
      <c r="D50" s="26">
        <f t="shared" si="0"/>
        <v>0</v>
      </c>
      <c r="E50" s="50">
        <f t="shared" si="1"/>
        <v>-600</v>
      </c>
    </row>
    <row r="51" spans="1:5" ht="25.5" customHeight="1">
      <c r="A51" s="48" t="s">
        <v>151</v>
      </c>
      <c r="B51" s="25">
        <v>600</v>
      </c>
      <c r="C51" s="27">
        <v>0</v>
      </c>
      <c r="D51" s="26">
        <f t="shared" si="0"/>
        <v>0</v>
      </c>
      <c r="E51" s="50">
        <f t="shared" si="1"/>
        <v>-600</v>
      </c>
    </row>
    <row r="52" spans="1:5" ht="12.75">
      <c r="A52" s="16" t="s">
        <v>51</v>
      </c>
      <c r="B52" s="194">
        <f>SUM(B53)</f>
        <v>0</v>
      </c>
      <c r="C52" s="194">
        <f>SUM(C53)</f>
        <v>0</v>
      </c>
      <c r="D52" s="26" t="str">
        <f t="shared" si="0"/>
        <v>   </v>
      </c>
      <c r="E52" s="50">
        <f t="shared" si="1"/>
        <v>0</v>
      </c>
    </row>
    <row r="53" spans="1:5" ht="12.75" customHeight="1">
      <c r="A53" s="16" t="s">
        <v>187</v>
      </c>
      <c r="B53" s="25">
        <v>0</v>
      </c>
      <c r="C53" s="25">
        <v>0</v>
      </c>
      <c r="D53" s="26" t="str">
        <f t="shared" si="0"/>
        <v>   </v>
      </c>
      <c r="E53" s="50">
        <f t="shared" si="1"/>
        <v>0</v>
      </c>
    </row>
    <row r="54" spans="1:5" ht="12.75" customHeight="1">
      <c r="A54" s="16" t="s">
        <v>183</v>
      </c>
      <c r="B54" s="25">
        <v>0</v>
      </c>
      <c r="C54" s="25">
        <v>0</v>
      </c>
      <c r="D54" s="26" t="str">
        <f t="shared" si="0"/>
        <v>   </v>
      </c>
      <c r="E54" s="50">
        <f t="shared" si="1"/>
        <v>0</v>
      </c>
    </row>
    <row r="55" spans="1:5" ht="12.75" customHeight="1">
      <c r="A55" s="16" t="s">
        <v>184</v>
      </c>
      <c r="B55" s="25">
        <v>0</v>
      </c>
      <c r="C55" s="25">
        <v>0</v>
      </c>
      <c r="D55" s="26" t="str">
        <f t="shared" si="0"/>
        <v>   </v>
      </c>
      <c r="E55" s="50">
        <f t="shared" si="1"/>
        <v>0</v>
      </c>
    </row>
    <row r="56" spans="1:5" ht="12.75" customHeight="1">
      <c r="A56" s="16" t="s">
        <v>185</v>
      </c>
      <c r="B56" s="25">
        <v>0</v>
      </c>
      <c r="C56" s="25">
        <v>0</v>
      </c>
      <c r="D56" s="26" t="str">
        <f t="shared" si="0"/>
        <v>   </v>
      </c>
      <c r="E56" s="50">
        <f t="shared" si="1"/>
        <v>0</v>
      </c>
    </row>
    <row r="57" spans="1:5" ht="12.75" customHeight="1">
      <c r="A57" s="16" t="s">
        <v>186</v>
      </c>
      <c r="B57" s="25">
        <v>0</v>
      </c>
      <c r="C57" s="25">
        <v>0</v>
      </c>
      <c r="D57" s="26" t="str">
        <f t="shared" si="0"/>
        <v>   </v>
      </c>
      <c r="E57" s="50">
        <f t="shared" si="1"/>
        <v>0</v>
      </c>
    </row>
    <row r="58" spans="1:5" ht="13.5" customHeight="1">
      <c r="A58" s="16" t="s">
        <v>16</v>
      </c>
      <c r="B58" s="194">
        <f>SUM(B59)</f>
        <v>540000</v>
      </c>
      <c r="C58" s="194">
        <f>SUM(C59)</f>
        <v>176940.22</v>
      </c>
      <c r="D58" s="26">
        <f t="shared" si="0"/>
        <v>32.76670740740741</v>
      </c>
      <c r="E58" s="50">
        <f t="shared" si="1"/>
        <v>-363059.78</v>
      </c>
    </row>
    <row r="59" spans="1:5" ht="12.75">
      <c r="A59" s="16" t="s">
        <v>84</v>
      </c>
      <c r="B59" s="25">
        <v>540000</v>
      </c>
      <c r="C59" s="25">
        <v>176940.22</v>
      </c>
      <c r="D59" s="26">
        <f t="shared" si="0"/>
        <v>32.76670740740741</v>
      </c>
      <c r="E59" s="50">
        <f t="shared" si="1"/>
        <v>-363059.78</v>
      </c>
    </row>
    <row r="60" spans="1:5" ht="12.75">
      <c r="A60" s="16" t="s">
        <v>82</v>
      </c>
      <c r="B60" s="25">
        <v>145000</v>
      </c>
      <c r="C60" s="27">
        <v>66950.22</v>
      </c>
      <c r="D60" s="26">
        <f t="shared" si="0"/>
        <v>46.17256551724138</v>
      </c>
      <c r="E60" s="50">
        <f t="shared" si="1"/>
        <v>-78049.78</v>
      </c>
    </row>
    <row r="61" spans="1:5" ht="12.75">
      <c r="A61" s="16" t="s">
        <v>134</v>
      </c>
      <c r="B61" s="25">
        <v>225000</v>
      </c>
      <c r="C61" s="27">
        <v>49995</v>
      </c>
      <c r="D61" s="26">
        <f t="shared" si="0"/>
        <v>22.220000000000002</v>
      </c>
      <c r="E61" s="50">
        <f t="shared" si="1"/>
        <v>-175005</v>
      </c>
    </row>
    <row r="62" spans="1:5" ht="12.75">
      <c r="A62" s="16" t="s">
        <v>135</v>
      </c>
      <c r="B62" s="25">
        <v>130000</v>
      </c>
      <c r="C62" s="27">
        <v>49995</v>
      </c>
      <c r="D62" s="26">
        <f t="shared" si="0"/>
        <v>38.45769230769231</v>
      </c>
      <c r="E62" s="50">
        <f t="shared" si="1"/>
        <v>-80005</v>
      </c>
    </row>
    <row r="63" spans="1:5" ht="12.75">
      <c r="A63" s="16" t="s">
        <v>85</v>
      </c>
      <c r="B63" s="25">
        <v>40000</v>
      </c>
      <c r="C63" s="27">
        <v>10000</v>
      </c>
      <c r="D63" s="26">
        <f t="shared" si="0"/>
        <v>25</v>
      </c>
      <c r="E63" s="50">
        <f t="shared" si="1"/>
        <v>-30000</v>
      </c>
    </row>
    <row r="64" spans="1:5" ht="17.25" customHeight="1">
      <c r="A64" s="18" t="s">
        <v>24</v>
      </c>
      <c r="B64" s="31">
        <v>10000</v>
      </c>
      <c r="C64" s="31">
        <v>8550</v>
      </c>
      <c r="D64" s="26">
        <f t="shared" si="0"/>
        <v>85.5</v>
      </c>
      <c r="E64" s="50">
        <f t="shared" si="1"/>
        <v>-1450</v>
      </c>
    </row>
    <row r="65" spans="1:5" ht="15.75" customHeight="1">
      <c r="A65" s="16" t="s">
        <v>54</v>
      </c>
      <c r="B65" s="192">
        <f>B66</f>
        <v>1008600</v>
      </c>
      <c r="C65" s="192">
        <f>C66</f>
        <v>422243.17</v>
      </c>
      <c r="D65" s="26">
        <f t="shared" si="0"/>
        <v>41.86428415625619</v>
      </c>
      <c r="E65" s="50">
        <f t="shared" si="1"/>
        <v>-586356.8300000001</v>
      </c>
    </row>
    <row r="66" spans="1:5" ht="12.75">
      <c r="A66" s="16" t="s">
        <v>55</v>
      </c>
      <c r="B66" s="25">
        <v>1008600</v>
      </c>
      <c r="C66" s="27">
        <v>422243.17</v>
      </c>
      <c r="D66" s="26">
        <f t="shared" si="0"/>
        <v>41.86428415625619</v>
      </c>
      <c r="E66" s="50">
        <f t="shared" si="1"/>
        <v>-586356.8300000001</v>
      </c>
    </row>
    <row r="67" spans="1:5" ht="12.75">
      <c r="A67" s="119" t="s">
        <v>259</v>
      </c>
      <c r="B67" s="25">
        <v>506700</v>
      </c>
      <c r="C67" s="27">
        <v>208742.37</v>
      </c>
      <c r="D67" s="26">
        <f t="shared" si="0"/>
        <v>41.19644168146832</v>
      </c>
      <c r="E67" s="50">
        <f t="shared" si="1"/>
        <v>-297957.63</v>
      </c>
    </row>
    <row r="68" spans="1:5" ht="15.75" customHeight="1">
      <c r="A68" s="16" t="s">
        <v>208</v>
      </c>
      <c r="B68" s="25">
        <v>3700</v>
      </c>
      <c r="C68" s="27">
        <v>0</v>
      </c>
      <c r="D68" s="26">
        <f t="shared" si="0"/>
        <v>0</v>
      </c>
      <c r="E68" s="50">
        <f t="shared" si="1"/>
        <v>-3700</v>
      </c>
    </row>
    <row r="69" spans="1:5" ht="12.75">
      <c r="A69" s="16" t="s">
        <v>266</v>
      </c>
      <c r="B69" s="194">
        <f>SUM(B70,)</f>
        <v>15000</v>
      </c>
      <c r="C69" s="194">
        <f>SUM(C70,)</f>
        <v>11500</v>
      </c>
      <c r="D69" s="26">
        <f t="shared" si="0"/>
        <v>76.66666666666667</v>
      </c>
      <c r="E69" s="50">
        <f t="shared" si="1"/>
        <v>-3500</v>
      </c>
    </row>
    <row r="70" spans="1:5" ht="12.75">
      <c r="A70" s="16" t="s">
        <v>56</v>
      </c>
      <c r="B70" s="25">
        <v>15000</v>
      </c>
      <c r="C70" s="28">
        <v>11500</v>
      </c>
      <c r="D70" s="26">
        <f t="shared" si="0"/>
        <v>76.66666666666667</v>
      </c>
      <c r="E70" s="50">
        <f t="shared" si="1"/>
        <v>-3500</v>
      </c>
    </row>
    <row r="71" spans="1:5" ht="12.75">
      <c r="A71" s="16" t="s">
        <v>18</v>
      </c>
      <c r="B71" s="194">
        <f>B72</f>
        <v>212600</v>
      </c>
      <c r="C71" s="194">
        <f>C72</f>
        <v>0</v>
      </c>
      <c r="D71" s="26">
        <f aca="true" t="shared" si="2" ref="D71:D90">IF(B71=0,"   ",C71/B71*100)</f>
        <v>0</v>
      </c>
      <c r="E71" s="50">
        <f t="shared" si="1"/>
        <v>-212600</v>
      </c>
    </row>
    <row r="72" spans="1:5" ht="12.75">
      <c r="A72" s="16" t="s">
        <v>276</v>
      </c>
      <c r="B72" s="194">
        <f>SUM(B73,B78,B85)</f>
        <v>212600</v>
      </c>
      <c r="C72" s="194">
        <f>SUM(C73,C78,C85)</f>
        <v>0</v>
      </c>
      <c r="D72" s="26"/>
      <c r="E72" s="50"/>
    </row>
    <row r="73" spans="1:5" ht="12.75">
      <c r="A73" s="120" t="s">
        <v>274</v>
      </c>
      <c r="B73" s="199">
        <f>SUM(B74)</f>
        <v>75800</v>
      </c>
      <c r="C73" s="199">
        <f>SUM(C74)</f>
        <v>0</v>
      </c>
      <c r="D73" s="26">
        <f t="shared" si="2"/>
        <v>0</v>
      </c>
      <c r="E73" s="50">
        <f t="shared" si="1"/>
        <v>-75800</v>
      </c>
    </row>
    <row r="74" spans="1:5" ht="25.5">
      <c r="A74" s="16" t="s">
        <v>285</v>
      </c>
      <c r="B74" s="194">
        <f>SUM(B75:B77)</f>
        <v>75800</v>
      </c>
      <c r="C74" s="194">
        <f>SUM(C75:C77)</f>
        <v>0</v>
      </c>
      <c r="D74" s="26">
        <f t="shared" si="2"/>
        <v>0</v>
      </c>
      <c r="E74" s="50">
        <f t="shared" si="1"/>
        <v>-75800</v>
      </c>
    </row>
    <row r="75" spans="1:5" ht="12.75">
      <c r="A75" s="48" t="s">
        <v>287</v>
      </c>
      <c r="B75" s="125">
        <v>0</v>
      </c>
      <c r="C75" s="125"/>
      <c r="D75" s="26" t="str">
        <f t="shared" si="2"/>
        <v>   </v>
      </c>
      <c r="E75" s="50">
        <f t="shared" si="1"/>
        <v>0</v>
      </c>
    </row>
    <row r="76" spans="1:5" ht="12.75">
      <c r="A76" s="48" t="s">
        <v>288</v>
      </c>
      <c r="B76" s="125">
        <v>0</v>
      </c>
      <c r="C76" s="125"/>
      <c r="D76" s="26" t="str">
        <f t="shared" si="2"/>
        <v>   </v>
      </c>
      <c r="E76" s="50">
        <f t="shared" si="1"/>
        <v>0</v>
      </c>
    </row>
    <row r="77" spans="1:5" ht="12.75">
      <c r="A77" s="48" t="s">
        <v>289</v>
      </c>
      <c r="B77" s="125">
        <v>75800</v>
      </c>
      <c r="C77" s="125"/>
      <c r="D77" s="26">
        <f t="shared" si="2"/>
        <v>0</v>
      </c>
      <c r="E77" s="50">
        <f t="shared" si="1"/>
        <v>-75800</v>
      </c>
    </row>
    <row r="78" spans="1:6" ht="12.75">
      <c r="A78" s="120" t="s">
        <v>275</v>
      </c>
      <c r="B78" s="193">
        <f>SUM(B79,B82)</f>
        <v>0</v>
      </c>
      <c r="C78" s="193">
        <f>SUM(C79,C82)</f>
        <v>0</v>
      </c>
      <c r="D78" s="26" t="str">
        <f t="shared" si="2"/>
        <v>   </v>
      </c>
      <c r="E78" s="27">
        <f t="shared" si="1"/>
        <v>0</v>
      </c>
      <c r="F78" s="124"/>
    </row>
    <row r="79" spans="1:6" ht="12.75">
      <c r="A79" s="16" t="s">
        <v>279</v>
      </c>
      <c r="B79" s="193">
        <f>SUM(B80:B81)</f>
        <v>0</v>
      </c>
      <c r="C79" s="193">
        <f>SUM(C80:C81)</f>
        <v>0</v>
      </c>
      <c r="D79" s="26" t="str">
        <f t="shared" si="2"/>
        <v>   </v>
      </c>
      <c r="E79" s="27">
        <f t="shared" si="1"/>
        <v>0</v>
      </c>
      <c r="F79" s="124"/>
    </row>
    <row r="80" spans="1:6" ht="12.75">
      <c r="A80" s="48" t="s">
        <v>288</v>
      </c>
      <c r="B80" s="16">
        <v>0</v>
      </c>
      <c r="C80" s="25"/>
      <c r="D80" s="26" t="str">
        <f t="shared" si="2"/>
        <v>   </v>
      </c>
      <c r="E80" s="27">
        <f t="shared" si="1"/>
        <v>0</v>
      </c>
      <c r="F80" s="124"/>
    </row>
    <row r="81" spans="1:6" ht="12.75">
      <c r="A81" s="48" t="s">
        <v>289</v>
      </c>
      <c r="B81" s="16">
        <v>0</v>
      </c>
      <c r="C81" s="25"/>
      <c r="D81" s="26" t="str">
        <f t="shared" si="2"/>
        <v>   </v>
      </c>
      <c r="E81" s="27">
        <f t="shared" si="1"/>
        <v>0</v>
      </c>
      <c r="F81" s="124"/>
    </row>
    <row r="82" spans="1:6" ht="25.5">
      <c r="A82" s="16" t="s">
        <v>278</v>
      </c>
      <c r="B82" s="193">
        <f>SUM(B83:B84)</f>
        <v>0</v>
      </c>
      <c r="C82" s="193">
        <f>SUM(C83:C84)</f>
        <v>0</v>
      </c>
      <c r="D82" s="26" t="str">
        <f t="shared" si="2"/>
        <v>   </v>
      </c>
      <c r="E82" s="27">
        <f t="shared" si="1"/>
        <v>0</v>
      </c>
      <c r="F82" s="124"/>
    </row>
    <row r="83" spans="1:6" ht="12.75">
      <c r="A83" s="48" t="s">
        <v>288</v>
      </c>
      <c r="B83" s="123">
        <v>0</v>
      </c>
      <c r="C83" s="25"/>
      <c r="D83" s="26" t="str">
        <f t="shared" si="2"/>
        <v>   </v>
      </c>
      <c r="E83" s="50">
        <f t="shared" si="1"/>
        <v>0</v>
      </c>
      <c r="F83" s="124"/>
    </row>
    <row r="84" spans="1:6" ht="12.75">
      <c r="A84" s="48" t="s">
        <v>289</v>
      </c>
      <c r="B84" s="123">
        <v>0</v>
      </c>
      <c r="C84" s="25"/>
      <c r="D84" s="26" t="str">
        <f t="shared" si="2"/>
        <v>   </v>
      </c>
      <c r="E84" s="50">
        <f t="shared" si="1"/>
        <v>0</v>
      </c>
      <c r="F84" s="124"/>
    </row>
    <row r="85" spans="1:6" ht="12.75">
      <c r="A85" s="120" t="s">
        <v>280</v>
      </c>
      <c r="B85" s="219">
        <f>SUM(B86:B88)</f>
        <v>136800</v>
      </c>
      <c r="C85" s="219">
        <f>SUM(C86:C88)</f>
        <v>0</v>
      </c>
      <c r="D85" s="26">
        <f t="shared" si="2"/>
        <v>0</v>
      </c>
      <c r="E85" s="50">
        <f t="shared" si="1"/>
        <v>-136800</v>
      </c>
      <c r="F85" s="124"/>
    </row>
    <row r="86" spans="1:6" ht="12.75">
      <c r="A86" s="48" t="s">
        <v>287</v>
      </c>
      <c r="B86" s="123">
        <v>0</v>
      </c>
      <c r="C86" s="25"/>
      <c r="D86" s="26" t="str">
        <f t="shared" si="2"/>
        <v>   </v>
      </c>
      <c r="E86" s="50">
        <f t="shared" si="1"/>
        <v>0</v>
      </c>
      <c r="F86" s="124"/>
    </row>
    <row r="87" spans="1:6" ht="12.75">
      <c r="A87" s="48" t="s">
        <v>288</v>
      </c>
      <c r="B87" s="123">
        <v>109400</v>
      </c>
      <c r="C87" s="25"/>
      <c r="D87" s="26">
        <f t="shared" si="2"/>
        <v>0</v>
      </c>
      <c r="E87" s="50">
        <f t="shared" si="1"/>
        <v>-109400</v>
      </c>
      <c r="F87" s="124"/>
    </row>
    <row r="88" spans="1:6" ht="12.75">
      <c r="A88" s="48" t="s">
        <v>289</v>
      </c>
      <c r="B88" s="123">
        <v>27400</v>
      </c>
      <c r="C88" s="25"/>
      <c r="D88" s="26">
        <f t="shared" si="2"/>
        <v>0</v>
      </c>
      <c r="E88" s="50">
        <f t="shared" si="1"/>
        <v>-27400</v>
      </c>
      <c r="F88" s="124"/>
    </row>
    <row r="89" spans="1:5" ht="15.75">
      <c r="A89" s="165" t="s">
        <v>19</v>
      </c>
      <c r="B89" s="169">
        <f>SUM(B41,B48,B50,B52,B58,B64,B65,B69,B71,)</f>
        <v>2687000</v>
      </c>
      <c r="C89" s="169">
        <f>SUM(C41,C48,C50,C52,C58,C64,C65,C69,C71,)</f>
        <v>990999.54</v>
      </c>
      <c r="D89" s="167">
        <f t="shared" si="2"/>
        <v>36.881263118719765</v>
      </c>
      <c r="E89" s="168">
        <f t="shared" si="1"/>
        <v>-1696000.46</v>
      </c>
    </row>
    <row r="90" spans="1:5" ht="13.5" thickBot="1">
      <c r="A90" s="99" t="s">
        <v>262</v>
      </c>
      <c r="B90" s="213">
        <f>B43+B67</f>
        <v>983600</v>
      </c>
      <c r="C90" s="213">
        <f>C43+C67</f>
        <v>425162.48</v>
      </c>
      <c r="D90" s="100">
        <f t="shared" si="2"/>
        <v>43.22514030093534</v>
      </c>
      <c r="E90" s="101">
        <f t="shared" si="1"/>
        <v>-558437.52</v>
      </c>
    </row>
    <row r="91" spans="1:5" ht="17.25" customHeight="1">
      <c r="A91" s="111" t="s">
        <v>317</v>
      </c>
      <c r="B91" s="111"/>
      <c r="C91" s="235"/>
      <c r="D91" s="235"/>
      <c r="E91" s="235"/>
    </row>
    <row r="92" spans="1:5" ht="12.75" customHeight="1">
      <c r="A92" s="111" t="s">
        <v>318</v>
      </c>
      <c r="B92" s="111"/>
      <c r="C92" s="112" t="s">
        <v>319</v>
      </c>
      <c r="D92" s="113"/>
      <c r="E92" s="114"/>
    </row>
    <row r="93" spans="1:5" ht="12.75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</sheetData>
  <mergeCells count="2">
    <mergeCell ref="A1:E1"/>
    <mergeCell ref="C91:E9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67">
      <selection activeCell="A95" sqref="A95:E96"/>
    </sheetView>
  </sheetViews>
  <sheetFormatPr defaultColWidth="9.00390625" defaultRowHeight="12.75"/>
  <cols>
    <col min="1" max="1" width="107.75390625" style="0" customWidth="1"/>
    <col min="2" max="2" width="15.125" style="0" customWidth="1"/>
    <col min="3" max="3" width="16.625" style="0" customWidth="1"/>
    <col min="4" max="4" width="17.375" style="0" customWidth="1"/>
    <col min="5" max="5" width="17.00390625" style="0" customWidth="1"/>
  </cols>
  <sheetData>
    <row r="1" spans="1:5" ht="18">
      <c r="A1" s="237" t="s">
        <v>305</v>
      </c>
      <c r="B1" s="237"/>
      <c r="C1" s="237"/>
      <c r="D1" s="237"/>
      <c r="E1" s="237"/>
    </row>
    <row r="2" spans="1:5" ht="12.75">
      <c r="A2" s="4"/>
      <c r="B2" s="4"/>
      <c r="C2" s="3"/>
      <c r="D2" s="3"/>
      <c r="E2" s="3"/>
    </row>
    <row r="3" spans="1:5" ht="5.25" customHeight="1" thickBot="1">
      <c r="A3" s="4"/>
      <c r="B3" s="4"/>
      <c r="C3" s="5"/>
      <c r="D3" s="4"/>
      <c r="E3" s="4" t="s">
        <v>0</v>
      </c>
    </row>
    <row r="4" spans="1:5" ht="67.5" customHeight="1">
      <c r="A4" s="35" t="s">
        <v>1</v>
      </c>
      <c r="B4" s="19" t="s">
        <v>240</v>
      </c>
      <c r="C4" s="32" t="s">
        <v>303</v>
      </c>
      <c r="D4" s="19" t="s">
        <v>250</v>
      </c>
      <c r="E4" s="102" t="s">
        <v>253</v>
      </c>
    </row>
    <row r="5" spans="1:5" ht="12.75">
      <c r="A5" s="13">
        <v>1</v>
      </c>
      <c r="B5" s="98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58</v>
      </c>
      <c r="B7" s="192">
        <f>SUM(B8)</f>
        <v>788700</v>
      </c>
      <c r="C7" s="192">
        <f>SUM(C8)</f>
        <v>368380.08</v>
      </c>
      <c r="D7" s="26">
        <f aca="true" t="shared" si="0" ref="D7:D70">IF(B7=0,"   ",C7/B7*100)</f>
        <v>46.70724990490681</v>
      </c>
      <c r="E7" s="50">
        <f aca="true" t="shared" si="1" ref="E7:E94">C7-B7</f>
        <v>-420319.92</v>
      </c>
    </row>
    <row r="8" spans="1:5" ht="12.75">
      <c r="A8" s="16" t="s">
        <v>57</v>
      </c>
      <c r="B8" s="25">
        <v>788700</v>
      </c>
      <c r="C8" s="27">
        <v>368380.08</v>
      </c>
      <c r="D8" s="26">
        <f t="shared" si="0"/>
        <v>46.70724990490681</v>
      </c>
      <c r="E8" s="50">
        <f t="shared" si="1"/>
        <v>-420319.92</v>
      </c>
    </row>
    <row r="9" spans="1:5" ht="12.75">
      <c r="A9" s="16" t="s">
        <v>7</v>
      </c>
      <c r="B9" s="194">
        <f>SUM(B10:B10)</f>
        <v>6000</v>
      </c>
      <c r="C9" s="194">
        <f>C10</f>
        <v>2977.2</v>
      </c>
      <c r="D9" s="26">
        <f t="shared" si="0"/>
        <v>49.62</v>
      </c>
      <c r="E9" s="50">
        <f t="shared" si="1"/>
        <v>-3022.8</v>
      </c>
    </row>
    <row r="10" spans="1:5" ht="12.75">
      <c r="A10" s="16" t="s">
        <v>38</v>
      </c>
      <c r="B10" s="25">
        <v>6000</v>
      </c>
      <c r="C10" s="33">
        <v>2977.2</v>
      </c>
      <c r="D10" s="26">
        <f t="shared" si="0"/>
        <v>49.62</v>
      </c>
      <c r="E10" s="50">
        <f t="shared" si="1"/>
        <v>-3022.8</v>
      </c>
    </row>
    <row r="11" spans="1:5" ht="12.75">
      <c r="A11" s="16" t="s">
        <v>9</v>
      </c>
      <c r="B11" s="194">
        <f>SUM(B12:B13)</f>
        <v>108500</v>
      </c>
      <c r="C11" s="194">
        <f>SUM(C12:C13)</f>
        <v>55517.700000000004</v>
      </c>
      <c r="D11" s="26">
        <f t="shared" si="0"/>
        <v>51.16838709677419</v>
      </c>
      <c r="E11" s="50">
        <f t="shared" si="1"/>
        <v>-52982.299999999996</v>
      </c>
    </row>
    <row r="12" spans="1:5" ht="12.75">
      <c r="A12" s="16" t="s">
        <v>39</v>
      </c>
      <c r="B12" s="25">
        <v>66200</v>
      </c>
      <c r="C12" s="27">
        <v>16250.83</v>
      </c>
      <c r="D12" s="26">
        <f t="shared" si="0"/>
        <v>24.54808157099698</v>
      </c>
      <c r="E12" s="50">
        <f t="shared" si="1"/>
        <v>-49949.17</v>
      </c>
    </row>
    <row r="13" spans="1:5" ht="12.75">
      <c r="A13" s="16" t="s">
        <v>10</v>
      </c>
      <c r="B13" s="25">
        <v>42300</v>
      </c>
      <c r="C13" s="27">
        <v>39266.87</v>
      </c>
      <c r="D13" s="26">
        <f t="shared" si="0"/>
        <v>92.82947990543737</v>
      </c>
      <c r="E13" s="50">
        <f t="shared" si="1"/>
        <v>-3033.1299999999974</v>
      </c>
    </row>
    <row r="14" spans="1:5" ht="27" customHeight="1">
      <c r="A14" s="16" t="s">
        <v>149</v>
      </c>
      <c r="B14" s="25"/>
      <c r="C14" s="27">
        <v>569</v>
      </c>
      <c r="D14" s="26" t="str">
        <f t="shared" si="0"/>
        <v>   </v>
      </c>
      <c r="E14" s="50">
        <f t="shared" si="1"/>
        <v>569</v>
      </c>
    </row>
    <row r="15" spans="1:5" ht="26.25" customHeight="1">
      <c r="A15" s="16" t="s">
        <v>40</v>
      </c>
      <c r="B15" s="194">
        <v>1460000</v>
      </c>
      <c r="C15" s="194">
        <f>SUM(C16:C17)</f>
        <v>98189.44</v>
      </c>
      <c r="D15" s="26">
        <f t="shared" si="0"/>
        <v>6.7253041095890405</v>
      </c>
      <c r="E15" s="50">
        <f t="shared" si="1"/>
        <v>-1361810.56</v>
      </c>
    </row>
    <row r="16" spans="1:5" ht="12.75">
      <c r="A16" s="16" t="s">
        <v>41</v>
      </c>
      <c r="B16" s="25">
        <v>1458000</v>
      </c>
      <c r="C16" s="27">
        <v>82395.35</v>
      </c>
      <c r="D16" s="26">
        <f t="shared" si="0"/>
        <v>5.651258573388204</v>
      </c>
      <c r="E16" s="50">
        <f t="shared" si="1"/>
        <v>-1375604.65</v>
      </c>
    </row>
    <row r="17" spans="1:5" ht="25.5" customHeight="1">
      <c r="A17" s="16" t="s">
        <v>42</v>
      </c>
      <c r="B17" s="25">
        <v>2000</v>
      </c>
      <c r="C17" s="25">
        <v>15794.09</v>
      </c>
      <c r="D17" s="26">
        <f t="shared" si="0"/>
        <v>789.7045</v>
      </c>
      <c r="E17" s="50">
        <f t="shared" si="1"/>
        <v>13794.09</v>
      </c>
    </row>
    <row r="18" spans="1:5" ht="16.5" customHeight="1">
      <c r="A18" s="43" t="s">
        <v>153</v>
      </c>
      <c r="B18" s="25">
        <v>0</v>
      </c>
      <c r="C18" s="27">
        <v>7478.95</v>
      </c>
      <c r="D18" s="26" t="str">
        <f t="shared" si="0"/>
        <v>   </v>
      </c>
      <c r="E18" s="50">
        <f t="shared" si="1"/>
        <v>7478.95</v>
      </c>
    </row>
    <row r="19" spans="1:5" ht="14.25" customHeight="1">
      <c r="A19" s="16" t="s">
        <v>109</v>
      </c>
      <c r="B19" s="194">
        <f>SUM(B20:B20)</f>
        <v>0</v>
      </c>
      <c r="C19" s="194">
        <f>SUM(C20:C20)</f>
        <v>4739.17</v>
      </c>
      <c r="D19" s="26" t="str">
        <f t="shared" si="0"/>
        <v>   </v>
      </c>
      <c r="E19" s="50">
        <f t="shared" si="1"/>
        <v>4739.17</v>
      </c>
    </row>
    <row r="20" spans="1:5" ht="26.25" customHeight="1">
      <c r="A20" s="16" t="s">
        <v>110</v>
      </c>
      <c r="B20" s="25">
        <v>0</v>
      </c>
      <c r="C20" s="25">
        <v>4739.17</v>
      </c>
      <c r="D20" s="26" t="str">
        <f t="shared" si="0"/>
        <v>   </v>
      </c>
      <c r="E20" s="50">
        <f t="shared" si="1"/>
        <v>4739.17</v>
      </c>
    </row>
    <row r="21" spans="1:5" ht="17.25" customHeight="1">
      <c r="A21" s="16" t="s">
        <v>43</v>
      </c>
      <c r="B21" s="25">
        <v>0</v>
      </c>
      <c r="C21" s="25">
        <v>0</v>
      </c>
      <c r="D21" s="26"/>
      <c r="E21" s="50">
        <f t="shared" si="1"/>
        <v>0</v>
      </c>
    </row>
    <row r="22" spans="1:5" ht="12.75">
      <c r="A22" s="16" t="s">
        <v>44</v>
      </c>
      <c r="B22" s="194">
        <f>SUM(B23)</f>
        <v>0</v>
      </c>
      <c r="C22" s="192">
        <v>0</v>
      </c>
      <c r="D22" s="26" t="str">
        <f t="shared" si="0"/>
        <v>   </v>
      </c>
      <c r="E22" s="50">
        <f t="shared" si="1"/>
        <v>0</v>
      </c>
    </row>
    <row r="23" spans="1:5" ht="13.5" customHeight="1">
      <c r="A23" s="16" t="s">
        <v>271</v>
      </c>
      <c r="B23" s="25">
        <v>0</v>
      </c>
      <c r="C23" s="27">
        <v>0</v>
      </c>
      <c r="D23" s="26" t="str">
        <f t="shared" si="0"/>
        <v>   </v>
      </c>
      <c r="E23" s="50">
        <f t="shared" si="1"/>
        <v>0</v>
      </c>
    </row>
    <row r="24" spans="1:5" ht="14.25" customHeight="1">
      <c r="A24" s="16" t="s">
        <v>157</v>
      </c>
      <c r="B24" s="25">
        <v>0</v>
      </c>
      <c r="C24" s="24">
        <v>0</v>
      </c>
      <c r="D24" s="26" t="str">
        <f t="shared" si="0"/>
        <v>   </v>
      </c>
      <c r="E24" s="50">
        <f t="shared" si="1"/>
        <v>0</v>
      </c>
    </row>
    <row r="25" spans="1:5" ht="15" customHeight="1">
      <c r="A25" s="165" t="s">
        <v>11</v>
      </c>
      <c r="B25" s="218">
        <f>SUM(B7,B9,B11,B14,B15,B18,B19,B21,B22,B24,)</f>
        <v>2363200</v>
      </c>
      <c r="C25" s="218">
        <f>SUM(C7,C9,C11,C14,C15,C18,C19,C21,C22,C24,)</f>
        <v>537851.54</v>
      </c>
      <c r="D25" s="167">
        <f t="shared" si="0"/>
        <v>22.75945920785376</v>
      </c>
      <c r="E25" s="168">
        <f t="shared" si="1"/>
        <v>-1825348.46</v>
      </c>
    </row>
    <row r="26" spans="1:5" ht="15.75" customHeight="1">
      <c r="A26" s="17" t="s">
        <v>46</v>
      </c>
      <c r="B26" s="24">
        <v>1284000</v>
      </c>
      <c r="C26" s="24">
        <v>611300</v>
      </c>
      <c r="D26" s="26">
        <f t="shared" si="0"/>
        <v>47.60903426791277</v>
      </c>
      <c r="E26" s="50">
        <f t="shared" si="1"/>
        <v>-672700</v>
      </c>
    </row>
    <row r="27" spans="1:5" ht="16.5" customHeight="1">
      <c r="A27" s="16" t="s">
        <v>65</v>
      </c>
      <c r="B27" s="25">
        <v>0</v>
      </c>
      <c r="C27" s="27">
        <v>0</v>
      </c>
      <c r="D27" s="26" t="str">
        <f t="shared" si="0"/>
        <v>   </v>
      </c>
      <c r="E27" s="50">
        <f t="shared" si="1"/>
        <v>0</v>
      </c>
    </row>
    <row r="28" spans="1:5" ht="28.5" customHeight="1">
      <c r="A28" s="201" t="s">
        <v>69</v>
      </c>
      <c r="B28" s="202">
        <v>114800</v>
      </c>
      <c r="C28" s="202">
        <v>114800</v>
      </c>
      <c r="D28" s="203">
        <f t="shared" si="0"/>
        <v>100</v>
      </c>
      <c r="E28" s="204">
        <f t="shared" si="1"/>
        <v>0</v>
      </c>
    </row>
    <row r="29" spans="1:5" ht="27" customHeight="1">
      <c r="A29" s="16" t="s">
        <v>70</v>
      </c>
      <c r="B29" s="25">
        <v>200</v>
      </c>
      <c r="C29" s="27">
        <v>100</v>
      </c>
      <c r="D29" s="26">
        <f t="shared" si="0"/>
        <v>50</v>
      </c>
      <c r="E29" s="50">
        <f t="shared" si="1"/>
        <v>-100</v>
      </c>
    </row>
    <row r="30" spans="1:5" ht="29.25" customHeight="1">
      <c r="A30" s="16" t="s">
        <v>200</v>
      </c>
      <c r="B30" s="25">
        <v>0</v>
      </c>
      <c r="C30" s="25">
        <v>0</v>
      </c>
      <c r="D30" s="26" t="str">
        <f t="shared" si="0"/>
        <v>   </v>
      </c>
      <c r="E30" s="50">
        <f t="shared" si="1"/>
        <v>0</v>
      </c>
    </row>
    <row r="31" spans="1:5" ht="12.75" customHeight="1">
      <c r="A31" s="16" t="s">
        <v>80</v>
      </c>
      <c r="B31" s="25">
        <v>448901</v>
      </c>
      <c r="C31" s="25">
        <v>0</v>
      </c>
      <c r="D31" s="26">
        <f t="shared" si="0"/>
        <v>0</v>
      </c>
      <c r="E31" s="50">
        <f t="shared" si="1"/>
        <v>-448901</v>
      </c>
    </row>
    <row r="32" spans="1:5" ht="25.5" customHeight="1">
      <c r="A32" s="201" t="s">
        <v>174</v>
      </c>
      <c r="B32" s="202">
        <v>7500</v>
      </c>
      <c r="C32" s="202">
        <v>7500</v>
      </c>
      <c r="D32" s="203">
        <f t="shared" si="0"/>
        <v>100</v>
      </c>
      <c r="E32" s="204">
        <f t="shared" si="1"/>
        <v>0</v>
      </c>
    </row>
    <row r="33" spans="1:5" ht="18" customHeight="1">
      <c r="A33" s="16" t="s">
        <v>76</v>
      </c>
      <c r="B33" s="194">
        <f>B34</f>
        <v>418000</v>
      </c>
      <c r="C33" s="194">
        <f>C34</f>
        <v>79616</v>
      </c>
      <c r="D33" s="26">
        <f t="shared" si="0"/>
        <v>19.04688995215311</v>
      </c>
      <c r="E33" s="50">
        <f t="shared" si="1"/>
        <v>-338384</v>
      </c>
    </row>
    <row r="34" spans="1:5" s="7" customFormat="1" ht="14.25" customHeight="1">
      <c r="A34" s="16" t="s">
        <v>211</v>
      </c>
      <c r="B34" s="65">
        <v>418000</v>
      </c>
      <c r="C34" s="25">
        <v>79616</v>
      </c>
      <c r="D34" s="65">
        <f t="shared" si="0"/>
        <v>19.04688995215311</v>
      </c>
      <c r="E34" s="44">
        <f t="shared" si="1"/>
        <v>-338384</v>
      </c>
    </row>
    <row r="35" spans="1:5" ht="39" customHeight="1">
      <c r="A35" s="16" t="s">
        <v>180</v>
      </c>
      <c r="B35" s="25">
        <v>0</v>
      </c>
      <c r="C35" s="25">
        <v>0</v>
      </c>
      <c r="D35" s="26" t="str">
        <f t="shared" si="0"/>
        <v>   </v>
      </c>
      <c r="E35" s="50">
        <f t="shared" si="1"/>
        <v>0</v>
      </c>
    </row>
    <row r="36" spans="1:5" ht="16.5" customHeight="1">
      <c r="A36" s="16" t="s">
        <v>47</v>
      </c>
      <c r="B36" s="25">
        <v>0</v>
      </c>
      <c r="C36" s="27">
        <v>0</v>
      </c>
      <c r="D36" s="26" t="str">
        <f t="shared" si="0"/>
        <v>   </v>
      </c>
      <c r="E36" s="50">
        <f t="shared" si="1"/>
        <v>0</v>
      </c>
    </row>
    <row r="37" spans="1:5" ht="23.25" customHeight="1">
      <c r="A37" s="165" t="s">
        <v>14</v>
      </c>
      <c r="B37" s="169">
        <f>SUM(B25,B26,B27:B33,B35,B36)</f>
        <v>4636601</v>
      </c>
      <c r="C37" s="169">
        <f>SUM(C25,C26,C27:C33,C35,C36)</f>
        <v>1351167.54</v>
      </c>
      <c r="D37" s="167">
        <f t="shared" si="0"/>
        <v>29.14133737192396</v>
      </c>
      <c r="E37" s="168">
        <f t="shared" si="1"/>
        <v>-3285433.46</v>
      </c>
    </row>
    <row r="38" spans="1:5" ht="12.75">
      <c r="A38" s="22" t="s">
        <v>15</v>
      </c>
      <c r="B38" s="52"/>
      <c r="C38" s="53"/>
      <c r="D38" s="26" t="str">
        <f t="shared" si="0"/>
        <v>   </v>
      </c>
      <c r="E38" s="50"/>
    </row>
    <row r="39" spans="1:5" ht="12.75">
      <c r="A39" s="16" t="s">
        <v>48</v>
      </c>
      <c r="B39" s="25">
        <v>782400</v>
      </c>
      <c r="C39" s="25">
        <v>285769.65</v>
      </c>
      <c r="D39" s="26">
        <f t="shared" si="0"/>
        <v>36.524750766871165</v>
      </c>
      <c r="E39" s="50">
        <f t="shared" si="1"/>
        <v>-496630.35</v>
      </c>
    </row>
    <row r="40" spans="1:5" ht="12.75" customHeight="1">
      <c r="A40" s="16" t="s">
        <v>49</v>
      </c>
      <c r="B40" s="25">
        <v>757900</v>
      </c>
      <c r="C40" s="25">
        <v>285769.65</v>
      </c>
      <c r="D40" s="26">
        <f t="shared" si="0"/>
        <v>37.70545586488983</v>
      </c>
      <c r="E40" s="50">
        <f t="shared" si="1"/>
        <v>-472130.35</v>
      </c>
    </row>
    <row r="41" spans="1:5" ht="12.75">
      <c r="A41" s="119" t="s">
        <v>259</v>
      </c>
      <c r="B41" s="25">
        <v>476900</v>
      </c>
      <c r="C41" s="28">
        <v>210822.92</v>
      </c>
      <c r="D41" s="26">
        <f t="shared" si="0"/>
        <v>44.206944852170274</v>
      </c>
      <c r="E41" s="50">
        <f t="shared" si="1"/>
        <v>-266077.07999999996</v>
      </c>
    </row>
    <row r="42" spans="1:5" ht="12.75">
      <c r="A42" s="16" t="s">
        <v>212</v>
      </c>
      <c r="B42" s="25">
        <v>200</v>
      </c>
      <c r="C42" s="28">
        <v>0</v>
      </c>
      <c r="D42" s="26">
        <f t="shared" si="0"/>
        <v>0</v>
      </c>
      <c r="E42" s="50">
        <f t="shared" si="1"/>
        <v>-200</v>
      </c>
    </row>
    <row r="43" spans="1:5" ht="12.75">
      <c r="A43" s="16" t="s">
        <v>166</v>
      </c>
      <c r="B43" s="25">
        <v>500</v>
      </c>
      <c r="C43" s="27">
        <v>0</v>
      </c>
      <c r="D43" s="26">
        <f t="shared" si="0"/>
        <v>0</v>
      </c>
      <c r="E43" s="50">
        <f t="shared" si="1"/>
        <v>-500</v>
      </c>
    </row>
    <row r="44" spans="1:5" ht="12.75">
      <c r="A44" s="16" t="s">
        <v>71</v>
      </c>
      <c r="B44" s="194">
        <f>B45</f>
        <v>24000</v>
      </c>
      <c r="C44" s="194">
        <f>C45</f>
        <v>0</v>
      </c>
      <c r="D44" s="26"/>
      <c r="E44" s="50"/>
    </row>
    <row r="45" spans="1:5" ht="12.75">
      <c r="A45" s="16" t="s">
        <v>90</v>
      </c>
      <c r="B45" s="25">
        <v>24000</v>
      </c>
      <c r="C45" s="27">
        <v>0</v>
      </c>
      <c r="D45" s="26"/>
      <c r="E45" s="50"/>
    </row>
    <row r="46" spans="1:5" ht="12.75">
      <c r="A46" s="16" t="s">
        <v>67</v>
      </c>
      <c r="B46" s="195">
        <f>SUM(B47)</f>
        <v>114800</v>
      </c>
      <c r="C46" s="195">
        <f>SUM(C47)</f>
        <v>40274.86</v>
      </c>
      <c r="D46" s="26">
        <f t="shared" si="0"/>
        <v>35.08263066202091</v>
      </c>
      <c r="E46" s="50">
        <f t="shared" si="1"/>
        <v>-74525.14</v>
      </c>
    </row>
    <row r="47" spans="1:5" ht="12" customHeight="1">
      <c r="A47" s="16" t="s">
        <v>207</v>
      </c>
      <c r="B47" s="25">
        <v>114800</v>
      </c>
      <c r="C47" s="27">
        <v>40274.86</v>
      </c>
      <c r="D47" s="26">
        <f t="shared" si="0"/>
        <v>35.08263066202091</v>
      </c>
      <c r="E47" s="50">
        <f t="shared" si="1"/>
        <v>-74525.14</v>
      </c>
    </row>
    <row r="48" spans="1:5" ht="12.75">
      <c r="A48" s="16" t="s">
        <v>50</v>
      </c>
      <c r="B48" s="194">
        <f>SUM(B49)</f>
        <v>1100</v>
      </c>
      <c r="C48" s="195">
        <f>SUM(C49)</f>
        <v>0</v>
      </c>
      <c r="D48" s="26">
        <f t="shared" si="0"/>
        <v>0</v>
      </c>
      <c r="E48" s="50">
        <f t="shared" si="1"/>
        <v>-1100</v>
      </c>
    </row>
    <row r="49" spans="1:5" ht="12.75" customHeight="1">
      <c r="A49" s="48" t="s">
        <v>151</v>
      </c>
      <c r="B49" s="25">
        <v>1100</v>
      </c>
      <c r="C49" s="27">
        <v>0</v>
      </c>
      <c r="D49" s="26">
        <f t="shared" si="0"/>
        <v>0</v>
      </c>
      <c r="E49" s="50">
        <f t="shared" si="1"/>
        <v>-1100</v>
      </c>
    </row>
    <row r="50" spans="1:5" ht="15.75" customHeight="1">
      <c r="A50" s="16" t="s">
        <v>51</v>
      </c>
      <c r="B50" s="27">
        <v>0</v>
      </c>
      <c r="C50" s="27">
        <v>0</v>
      </c>
      <c r="D50" s="26" t="str">
        <f t="shared" si="0"/>
        <v>   </v>
      </c>
      <c r="E50" s="50">
        <f t="shared" si="1"/>
        <v>0</v>
      </c>
    </row>
    <row r="51" spans="1:5" ht="26.25" customHeight="1">
      <c r="A51" s="16" t="s">
        <v>16</v>
      </c>
      <c r="B51" s="194">
        <f>SUM(B52,B54,B55,)</f>
        <v>1137900</v>
      </c>
      <c r="C51" s="194">
        <f>SUM(C52,C54,C55,)</f>
        <v>268756.89</v>
      </c>
      <c r="D51" s="26">
        <f t="shared" si="0"/>
        <v>23.61867387292381</v>
      </c>
      <c r="E51" s="50">
        <f t="shared" si="1"/>
        <v>-869143.11</v>
      </c>
    </row>
    <row r="52" spans="1:5" ht="12.75">
      <c r="A52" s="16" t="s">
        <v>17</v>
      </c>
      <c r="B52" s="194">
        <f>SUM(B53:B53)</f>
        <v>150000</v>
      </c>
      <c r="C52" s="194">
        <f>SUM(C53:C53)</f>
        <v>30279</v>
      </c>
      <c r="D52" s="26">
        <f t="shared" si="0"/>
        <v>20.186</v>
      </c>
      <c r="E52" s="50">
        <f t="shared" si="1"/>
        <v>-119721</v>
      </c>
    </row>
    <row r="53" spans="1:5" ht="15.75" customHeight="1">
      <c r="A53" s="16" t="s">
        <v>169</v>
      </c>
      <c r="B53" s="25">
        <v>150000</v>
      </c>
      <c r="C53" s="27">
        <v>30279</v>
      </c>
      <c r="D53" s="26">
        <f t="shared" si="0"/>
        <v>20.186</v>
      </c>
      <c r="E53" s="50">
        <f t="shared" si="1"/>
        <v>-119721</v>
      </c>
    </row>
    <row r="54" spans="1:5" ht="12.75">
      <c r="A54" s="16" t="s">
        <v>152</v>
      </c>
      <c r="B54" s="25">
        <v>0</v>
      </c>
      <c r="C54" s="27">
        <v>0</v>
      </c>
      <c r="D54" s="26" t="str">
        <f t="shared" si="0"/>
        <v>   </v>
      </c>
      <c r="E54" s="50">
        <f t="shared" si="1"/>
        <v>0</v>
      </c>
    </row>
    <row r="55" spans="1:5" ht="12.75">
      <c r="A55" s="16" t="s">
        <v>97</v>
      </c>
      <c r="B55" s="25">
        <v>987900</v>
      </c>
      <c r="C55" s="25">
        <v>238477.89</v>
      </c>
      <c r="D55" s="26">
        <f t="shared" si="0"/>
        <v>24.13988156696022</v>
      </c>
      <c r="E55" s="50">
        <f t="shared" si="1"/>
        <v>-749422.11</v>
      </c>
    </row>
    <row r="56" spans="1:5" ht="12.75">
      <c r="A56" s="16" t="s">
        <v>82</v>
      </c>
      <c r="B56" s="25">
        <v>180000</v>
      </c>
      <c r="C56" s="27">
        <v>114577.89</v>
      </c>
      <c r="D56" s="26">
        <f t="shared" si="0"/>
        <v>63.65438333333333</v>
      </c>
      <c r="E56" s="50">
        <f t="shared" si="1"/>
        <v>-65422.11</v>
      </c>
    </row>
    <row r="57" spans="1:5" ht="12.75">
      <c r="A57" s="16" t="s">
        <v>136</v>
      </c>
      <c r="B57" s="25">
        <v>418000</v>
      </c>
      <c r="C57" s="27">
        <v>61950</v>
      </c>
      <c r="D57" s="26">
        <f t="shared" si="0"/>
        <v>14.820574162679426</v>
      </c>
      <c r="E57" s="50">
        <f t="shared" si="1"/>
        <v>-356050</v>
      </c>
    </row>
    <row r="58" spans="1:5" ht="12.75">
      <c r="A58" s="16" t="s">
        <v>137</v>
      </c>
      <c r="B58" s="25">
        <v>270000</v>
      </c>
      <c r="C58" s="27">
        <v>61950</v>
      </c>
      <c r="D58" s="26">
        <f t="shared" si="0"/>
        <v>22.944444444444446</v>
      </c>
      <c r="E58" s="50">
        <f t="shared" si="1"/>
        <v>-208050</v>
      </c>
    </row>
    <row r="59" spans="1:5" ht="12.75">
      <c r="A59" s="16" t="s">
        <v>83</v>
      </c>
      <c r="B59" s="25">
        <v>119900</v>
      </c>
      <c r="C59" s="27">
        <v>0</v>
      </c>
      <c r="D59" s="26">
        <f t="shared" si="0"/>
        <v>0</v>
      </c>
      <c r="E59" s="50">
        <f t="shared" si="1"/>
        <v>-119900</v>
      </c>
    </row>
    <row r="60" spans="1:5" ht="15">
      <c r="A60" s="18" t="s">
        <v>24</v>
      </c>
      <c r="B60" s="31">
        <v>20000</v>
      </c>
      <c r="C60" s="31">
        <v>1175</v>
      </c>
      <c r="D60" s="26">
        <f t="shared" si="0"/>
        <v>5.875</v>
      </c>
      <c r="E60" s="50">
        <f t="shared" si="1"/>
        <v>-18825</v>
      </c>
    </row>
    <row r="61" spans="1:5" ht="12.75">
      <c r="A61" s="16" t="s">
        <v>54</v>
      </c>
      <c r="B61" s="192">
        <f>SUM(B62,)</f>
        <v>2249700</v>
      </c>
      <c r="C61" s="192">
        <f>SUM(C62,)</f>
        <v>897223.76</v>
      </c>
      <c r="D61" s="26">
        <f t="shared" si="0"/>
        <v>39.88192914610837</v>
      </c>
      <c r="E61" s="50">
        <f t="shared" si="1"/>
        <v>-1352476.24</v>
      </c>
    </row>
    <row r="62" spans="1:5" ht="17.25" customHeight="1">
      <c r="A62" s="16" t="s">
        <v>55</v>
      </c>
      <c r="B62" s="25">
        <v>2249700</v>
      </c>
      <c r="C62" s="27">
        <v>897223.76</v>
      </c>
      <c r="D62" s="26">
        <f t="shared" si="0"/>
        <v>39.88192914610837</v>
      </c>
      <c r="E62" s="50">
        <f t="shared" si="1"/>
        <v>-1352476.24</v>
      </c>
    </row>
    <row r="63" spans="1:5" ht="15.75" customHeight="1">
      <c r="A63" s="119" t="s">
        <v>259</v>
      </c>
      <c r="B63" s="25">
        <v>890200</v>
      </c>
      <c r="C63" s="27">
        <v>395874.49</v>
      </c>
      <c r="D63" s="26">
        <f t="shared" si="0"/>
        <v>44.47028645248259</v>
      </c>
      <c r="E63" s="50">
        <f t="shared" si="1"/>
        <v>-494325.51</v>
      </c>
    </row>
    <row r="64" spans="1:5" ht="12.75">
      <c r="A64" s="16" t="s">
        <v>208</v>
      </c>
      <c r="B64" s="25">
        <v>7500</v>
      </c>
      <c r="C64" s="27">
        <v>0</v>
      </c>
      <c r="D64" s="26">
        <f t="shared" si="0"/>
        <v>0</v>
      </c>
      <c r="E64" s="50">
        <f t="shared" si="1"/>
        <v>-7500</v>
      </c>
    </row>
    <row r="65" spans="1:5" ht="12.75">
      <c r="A65" s="16" t="s">
        <v>266</v>
      </c>
      <c r="B65" s="194">
        <f>SUM(B66,)</f>
        <v>20000</v>
      </c>
      <c r="C65" s="194">
        <f>SUM(C66,)</f>
        <v>9000</v>
      </c>
      <c r="D65" s="26">
        <f t="shared" si="0"/>
        <v>45</v>
      </c>
      <c r="E65" s="50">
        <f t="shared" si="1"/>
        <v>-11000</v>
      </c>
    </row>
    <row r="66" spans="1:5" ht="12.75" customHeight="1">
      <c r="A66" s="16" t="s">
        <v>56</v>
      </c>
      <c r="B66" s="25">
        <v>20000</v>
      </c>
      <c r="C66" s="28">
        <v>9000</v>
      </c>
      <c r="D66" s="26">
        <f t="shared" si="0"/>
        <v>45</v>
      </c>
      <c r="E66" s="50">
        <f t="shared" si="1"/>
        <v>-11000</v>
      </c>
    </row>
    <row r="67" spans="1:5" ht="12.75">
      <c r="A67" s="16" t="s">
        <v>18</v>
      </c>
      <c r="B67" s="194">
        <f>B68</f>
        <v>640701</v>
      </c>
      <c r="C67" s="194">
        <f>C68</f>
        <v>0</v>
      </c>
      <c r="D67" s="26">
        <f t="shared" si="0"/>
        <v>0</v>
      </c>
      <c r="E67" s="50">
        <f t="shared" si="1"/>
        <v>-640701</v>
      </c>
    </row>
    <row r="68" spans="1:5" ht="12.75">
      <c r="A68" s="16" t="s">
        <v>276</v>
      </c>
      <c r="B68" s="194">
        <f>SUM(B89,B82,B73,B69)</f>
        <v>640701</v>
      </c>
      <c r="C68" s="194">
        <f>SUM(C89,C82,C73,C69)</f>
        <v>0</v>
      </c>
      <c r="D68" s="26"/>
      <c r="E68" s="50"/>
    </row>
    <row r="69" spans="1:5" ht="12.75">
      <c r="A69" s="120" t="s">
        <v>178</v>
      </c>
      <c r="B69" s="121">
        <v>0</v>
      </c>
      <c r="C69" s="121">
        <v>0</v>
      </c>
      <c r="D69" s="26" t="str">
        <f t="shared" si="0"/>
        <v>   </v>
      </c>
      <c r="E69" s="50">
        <f t="shared" si="1"/>
        <v>0</v>
      </c>
    </row>
    <row r="70" spans="1:5" ht="12.75">
      <c r="A70" s="16" t="s">
        <v>198</v>
      </c>
      <c r="B70" s="194">
        <f>B71+B72</f>
        <v>0</v>
      </c>
      <c r="C70" s="194">
        <f>C71+C72</f>
        <v>0</v>
      </c>
      <c r="D70" s="26" t="str">
        <f t="shared" si="0"/>
        <v>   </v>
      </c>
      <c r="E70" s="50">
        <f t="shared" si="1"/>
        <v>0</v>
      </c>
    </row>
    <row r="71" spans="1:5" ht="12.75">
      <c r="A71" s="16" t="s">
        <v>105</v>
      </c>
      <c r="B71" s="25">
        <v>0</v>
      </c>
      <c r="C71" s="25">
        <v>0</v>
      </c>
      <c r="D71" s="26" t="str">
        <f>IF(B71=0,"   ",C71/B71*100)</f>
        <v>   </v>
      </c>
      <c r="E71" s="50">
        <f t="shared" si="1"/>
        <v>0</v>
      </c>
    </row>
    <row r="72" spans="1:5" ht="12.75">
      <c r="A72" s="16" t="s">
        <v>117</v>
      </c>
      <c r="B72" s="25">
        <v>0</v>
      </c>
      <c r="C72" s="25">
        <v>0</v>
      </c>
      <c r="D72" s="26" t="str">
        <f>IF(B72=0,"   ",C72/B72*100)</f>
        <v>   </v>
      </c>
      <c r="E72" s="50">
        <f t="shared" si="1"/>
        <v>0</v>
      </c>
    </row>
    <row r="73" spans="1:5" ht="12.75">
      <c r="A73" s="120" t="s">
        <v>274</v>
      </c>
      <c r="B73" s="199">
        <f>SUM(B74,B78)</f>
        <v>152000</v>
      </c>
      <c r="C73" s="199">
        <f>SUM(C74,C78)</f>
        <v>0</v>
      </c>
      <c r="D73" s="26">
        <f>IF(B73=0,"   ",C73/B73*100)</f>
        <v>0</v>
      </c>
      <c r="E73" s="50">
        <f t="shared" si="1"/>
        <v>-152000</v>
      </c>
    </row>
    <row r="74" spans="1:5" ht="12.75">
      <c r="A74" s="16" t="s">
        <v>279</v>
      </c>
      <c r="B74" s="194">
        <f>SUM(B75:B77)</f>
        <v>152000</v>
      </c>
      <c r="C74" s="194">
        <f>SUM(C75:C77)</f>
        <v>0</v>
      </c>
      <c r="D74" s="26">
        <f>IF(B74=0,"   ",C74/B74*100)</f>
        <v>0</v>
      </c>
      <c r="E74" s="50">
        <f>C74-B74</f>
        <v>-152000</v>
      </c>
    </row>
    <row r="75" spans="1:5" ht="18" customHeight="1">
      <c r="A75" s="48" t="s">
        <v>287</v>
      </c>
      <c r="B75" s="25">
        <v>0</v>
      </c>
      <c r="C75" s="27"/>
      <c r="D75" s="26" t="str">
        <f aca="true" t="shared" si="2" ref="D75:D92">IF(B75=0,"   ",C75/B75*100)</f>
        <v>   </v>
      </c>
      <c r="E75" s="50">
        <f aca="true" t="shared" si="3" ref="E75:E92">C75-B75</f>
        <v>0</v>
      </c>
    </row>
    <row r="76" spans="1:5" ht="13.5" customHeight="1">
      <c r="A76" s="48" t="s">
        <v>288</v>
      </c>
      <c r="B76" s="25">
        <v>0</v>
      </c>
      <c r="C76" s="27"/>
      <c r="D76" s="26" t="str">
        <f t="shared" si="2"/>
        <v>   </v>
      </c>
      <c r="E76" s="50">
        <f t="shared" si="3"/>
        <v>0</v>
      </c>
    </row>
    <row r="77" spans="1:5" ht="13.5" customHeight="1">
      <c r="A77" s="48" t="s">
        <v>289</v>
      </c>
      <c r="B77" s="25">
        <v>152000</v>
      </c>
      <c r="C77" s="27"/>
      <c r="D77" s="26">
        <f t="shared" si="2"/>
        <v>0</v>
      </c>
      <c r="E77" s="50">
        <f t="shared" si="3"/>
        <v>-152000</v>
      </c>
    </row>
    <row r="78" spans="1:5" ht="13.5" customHeight="1">
      <c r="A78" s="16" t="s">
        <v>278</v>
      </c>
      <c r="B78" s="194">
        <f>SUM(B79:B81)</f>
        <v>0</v>
      </c>
      <c r="C78" s="194">
        <f>SUM(C79:C81)</f>
        <v>0</v>
      </c>
      <c r="D78" s="26" t="str">
        <f t="shared" si="2"/>
        <v>   </v>
      </c>
      <c r="E78" s="50">
        <f t="shared" si="3"/>
        <v>0</v>
      </c>
    </row>
    <row r="79" spans="1:5" ht="13.5" customHeight="1">
      <c r="A79" s="48" t="s">
        <v>287</v>
      </c>
      <c r="B79" s="25">
        <v>0</v>
      </c>
      <c r="C79" s="27"/>
      <c r="D79" s="26" t="str">
        <f t="shared" si="2"/>
        <v>   </v>
      </c>
      <c r="E79" s="50">
        <f t="shared" si="3"/>
        <v>0</v>
      </c>
    </row>
    <row r="80" spans="1:5" ht="16.5" customHeight="1">
      <c r="A80" s="48" t="s">
        <v>288</v>
      </c>
      <c r="B80" s="25">
        <v>0</v>
      </c>
      <c r="C80" s="27"/>
      <c r="D80" s="26" t="str">
        <f t="shared" si="2"/>
        <v>   </v>
      </c>
      <c r="E80" s="50">
        <f t="shared" si="3"/>
        <v>0</v>
      </c>
    </row>
    <row r="81" spans="1:5" ht="16.5" customHeight="1">
      <c r="A81" s="48" t="s">
        <v>289</v>
      </c>
      <c r="B81" s="25">
        <v>0</v>
      </c>
      <c r="C81" s="27"/>
      <c r="D81" s="26" t="str">
        <f t="shared" si="2"/>
        <v>   </v>
      </c>
      <c r="E81" s="50">
        <f t="shared" si="3"/>
        <v>0</v>
      </c>
    </row>
    <row r="82" spans="1:5" ht="16.5" customHeight="1">
      <c r="A82" s="120" t="s">
        <v>275</v>
      </c>
      <c r="B82" s="199">
        <f>SUM(B83,B86)</f>
        <v>0</v>
      </c>
      <c r="C82" s="199">
        <f>SUM(C83,C86)</f>
        <v>0</v>
      </c>
      <c r="D82" s="26" t="str">
        <f t="shared" si="2"/>
        <v>   </v>
      </c>
      <c r="E82" s="50">
        <f t="shared" si="3"/>
        <v>0</v>
      </c>
    </row>
    <row r="83" spans="1:5" ht="16.5" customHeight="1">
      <c r="A83" s="16" t="s">
        <v>279</v>
      </c>
      <c r="B83" s="194">
        <f>SUM(B84:B85)</f>
        <v>0</v>
      </c>
      <c r="C83" s="194">
        <f>SUM(C84:C85)</f>
        <v>0</v>
      </c>
      <c r="D83" s="26" t="str">
        <f t="shared" si="2"/>
        <v>   </v>
      </c>
      <c r="E83" s="50">
        <f t="shared" si="3"/>
        <v>0</v>
      </c>
    </row>
    <row r="84" spans="1:5" ht="12.75">
      <c r="A84" s="48" t="s">
        <v>288</v>
      </c>
      <c r="B84" s="25">
        <v>0</v>
      </c>
      <c r="C84" s="27"/>
      <c r="D84" s="26" t="str">
        <f t="shared" si="2"/>
        <v>   </v>
      </c>
      <c r="E84" s="50">
        <f t="shared" si="3"/>
        <v>0</v>
      </c>
    </row>
    <row r="85" spans="1:5" ht="12.75">
      <c r="A85" s="48" t="s">
        <v>289</v>
      </c>
      <c r="B85" s="25">
        <v>0</v>
      </c>
      <c r="C85" s="27"/>
      <c r="D85" s="26" t="str">
        <f t="shared" si="2"/>
        <v>   </v>
      </c>
      <c r="E85" s="50">
        <f t="shared" si="3"/>
        <v>0</v>
      </c>
    </row>
    <row r="86" spans="1:5" ht="12.75">
      <c r="A86" s="16" t="s">
        <v>278</v>
      </c>
      <c r="B86" s="194">
        <f>SUM(B87:B88)</f>
        <v>0</v>
      </c>
      <c r="C86" s="25">
        <f>SUM(C87:C88)</f>
        <v>0</v>
      </c>
      <c r="D86" s="26" t="str">
        <f t="shared" si="2"/>
        <v>   </v>
      </c>
      <c r="E86" s="50">
        <f t="shared" si="3"/>
        <v>0</v>
      </c>
    </row>
    <row r="87" spans="1:5" ht="12.75">
      <c r="A87" s="48" t="s">
        <v>288</v>
      </c>
      <c r="B87" s="25">
        <v>0</v>
      </c>
      <c r="C87" s="27"/>
      <c r="D87" s="26" t="str">
        <f t="shared" si="2"/>
        <v>   </v>
      </c>
      <c r="E87" s="50">
        <f t="shared" si="3"/>
        <v>0</v>
      </c>
    </row>
    <row r="88" spans="1:5" ht="12.75">
      <c r="A88" s="48" t="s">
        <v>289</v>
      </c>
      <c r="B88" s="25">
        <v>0</v>
      </c>
      <c r="C88" s="27"/>
      <c r="D88" s="26" t="str">
        <f t="shared" si="2"/>
        <v>   </v>
      </c>
      <c r="E88" s="50">
        <f t="shared" si="3"/>
        <v>0</v>
      </c>
    </row>
    <row r="89" spans="1:5" ht="12.75">
      <c r="A89" s="120" t="s">
        <v>286</v>
      </c>
      <c r="B89" s="199">
        <f>SUM(B90:B92)</f>
        <v>488701</v>
      </c>
      <c r="C89" s="199">
        <f>SUM(C90:C92)</f>
        <v>0</v>
      </c>
      <c r="D89" s="26">
        <f t="shared" si="2"/>
        <v>0</v>
      </c>
      <c r="E89" s="50">
        <f t="shared" si="3"/>
        <v>-488701</v>
      </c>
    </row>
    <row r="90" spans="1:5" ht="12.75">
      <c r="A90" s="48" t="s">
        <v>287</v>
      </c>
      <c r="B90" s="121">
        <v>0</v>
      </c>
      <c r="C90" s="121">
        <v>0</v>
      </c>
      <c r="D90" s="26" t="str">
        <f t="shared" si="2"/>
        <v>   </v>
      </c>
      <c r="E90" s="50">
        <f t="shared" si="3"/>
        <v>0</v>
      </c>
    </row>
    <row r="91" spans="1:5" ht="19.5" customHeight="1">
      <c r="A91" s="48" t="s">
        <v>288</v>
      </c>
      <c r="B91" s="121">
        <v>448901</v>
      </c>
      <c r="C91" s="121">
        <v>0</v>
      </c>
      <c r="D91" s="26">
        <f t="shared" si="2"/>
        <v>0</v>
      </c>
      <c r="E91" s="50">
        <f t="shared" si="3"/>
        <v>-448901</v>
      </c>
    </row>
    <row r="92" spans="1:5" ht="19.5" customHeight="1">
      <c r="A92" s="48" t="s">
        <v>289</v>
      </c>
      <c r="B92" s="117">
        <v>39800</v>
      </c>
      <c r="C92" s="121">
        <v>0</v>
      </c>
      <c r="D92" s="26">
        <f t="shared" si="2"/>
        <v>0</v>
      </c>
      <c r="E92" s="50">
        <f t="shared" si="3"/>
        <v>-39800</v>
      </c>
    </row>
    <row r="93" spans="1:5" ht="19.5" customHeight="1">
      <c r="A93" s="165" t="s">
        <v>19</v>
      </c>
      <c r="B93" s="169">
        <f>SUM(B39,B46,B48,B50,B51,B60,B61,B65,B67,)</f>
        <v>4966601</v>
      </c>
      <c r="C93" s="169">
        <f>SUM(C39,C46,C48,C50,C51,C60,C61,C65,C67,)</f>
        <v>1502200.1600000001</v>
      </c>
      <c r="D93" s="167">
        <f>IF(B93=0,"   ",C93/B93*100)</f>
        <v>30.246040702685807</v>
      </c>
      <c r="E93" s="168">
        <f t="shared" si="1"/>
        <v>-3464400.84</v>
      </c>
    </row>
    <row r="94" spans="1:5" ht="19.5" customHeight="1" thickBot="1">
      <c r="A94" s="99" t="s">
        <v>262</v>
      </c>
      <c r="B94" s="213">
        <f>B41+B63</f>
        <v>1367100</v>
      </c>
      <c r="C94" s="213">
        <f>C41+C63</f>
        <v>606697.41</v>
      </c>
      <c r="D94" s="100">
        <f>IF(B94=0,"   ",C94/B94*100)</f>
        <v>44.37842220759271</v>
      </c>
      <c r="E94" s="101">
        <f t="shared" si="1"/>
        <v>-760402.59</v>
      </c>
    </row>
    <row r="95" spans="1:5" ht="18" customHeight="1">
      <c r="A95" s="111" t="s">
        <v>317</v>
      </c>
      <c r="B95" s="111"/>
      <c r="C95" s="235"/>
      <c r="D95" s="235"/>
      <c r="E95" s="235"/>
    </row>
    <row r="96" spans="1:5" ht="15.75" customHeight="1">
      <c r="A96" s="111" t="s">
        <v>318</v>
      </c>
      <c r="B96" s="111"/>
      <c r="C96" s="112" t="s">
        <v>319</v>
      </c>
      <c r="D96" s="113"/>
      <c r="E96" s="114"/>
    </row>
    <row r="97" spans="1:5" ht="15" customHeight="1">
      <c r="A97" s="7"/>
      <c r="B97" s="7"/>
      <c r="C97" s="6"/>
      <c r="D97" s="7"/>
      <c r="E97" s="2"/>
    </row>
    <row r="98" spans="1:5" ht="12" customHeight="1">
      <c r="A98" s="66"/>
      <c r="B98" s="66"/>
      <c r="C98" s="67"/>
      <c r="D98" s="68"/>
      <c r="E98" s="69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</sheetData>
  <mergeCells count="2">
    <mergeCell ref="A1:E1"/>
    <mergeCell ref="C95:E95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Аля</cp:lastModifiedBy>
  <cp:lastPrinted>2011-07-11T06:22:36Z</cp:lastPrinted>
  <dcterms:created xsi:type="dcterms:W3CDTF">2001-03-21T05:21:19Z</dcterms:created>
  <dcterms:modified xsi:type="dcterms:W3CDTF">2011-07-18T07:24:49Z</dcterms:modified>
  <cp:category/>
  <cp:version/>
  <cp:contentType/>
  <cp:contentStatus/>
</cp:coreProperties>
</file>