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724" activeTab="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сводная" sheetId="11" r:id="rId11"/>
  </sheets>
  <definedNames>
    <definedName name="_xlnm.Print_Area" localSheetId="0">'Лист1'!$A$1:$E$123</definedName>
  </definedNames>
  <calcPr fullCalcOnLoad="1"/>
</workbook>
</file>

<file path=xl/sharedStrings.xml><?xml version="1.0" encoding="utf-8"?>
<sst xmlns="http://schemas.openxmlformats.org/spreadsheetml/2006/main" count="1095" uniqueCount="319">
  <si>
    <t>/ в руб. /</t>
  </si>
  <si>
    <t>Наименование показателя</t>
  </si>
  <si>
    <t xml:space="preserve">ДОХОДЫ </t>
  </si>
  <si>
    <t>из них: Налог на прибыль</t>
  </si>
  <si>
    <t>НАЛОГИ НА ТОВАРЫ И УСЛУГИ, лицензионные и регистрационные сборы</t>
  </si>
  <si>
    <t>из них: Лицензионные и регистрационные сборы</t>
  </si>
  <si>
    <t>Налог с продаж</t>
  </si>
  <si>
    <t>НАЛОГИ НА СОВОКУПНЫЙ ДОХОД</t>
  </si>
  <si>
    <t>из них: Единый налог на совокупный доход субьектов малого предпринимательства</t>
  </si>
  <si>
    <t>НАЛОГИ НА ИМУЩЕСТВО</t>
  </si>
  <si>
    <t>Земельный налог</t>
  </si>
  <si>
    <t>ИТОГО СОБСТВЕННЫХ ДОХОДОВ</t>
  </si>
  <si>
    <t>ОТ ГОС. ЦЕЛЕВЫХ БЮДЖЕТНЫХ ФОНДОВ</t>
  </si>
  <si>
    <t>Фонд борьбы с преступностью</t>
  </si>
  <si>
    <t>ВСЕГО ДОХОДОВ</t>
  </si>
  <si>
    <t>РАСХОДЫ</t>
  </si>
  <si>
    <t>ЖИЛИЩНО-КОММУНАЛЬНОЕ ХОЗЯЙСТВО - всего</t>
  </si>
  <si>
    <t>в том числе: Жилищное хозяйство</t>
  </si>
  <si>
    <t>СОЦИАЛЬНАЯ ПОЛИТИКА</t>
  </si>
  <si>
    <t>ВСЕГО РАСХОДОВ</t>
  </si>
  <si>
    <t>НЕНАЛОГОВЫЕ ДОХОДЫ - всего</t>
  </si>
  <si>
    <t>Начальник финансового отдела</t>
  </si>
  <si>
    <t>АДМИНИСТРАТИВНЫЕ ПЛАТЕЖИ И СБОРЫ</t>
  </si>
  <si>
    <t>ШТРАФНЫЕ САНКЦИИ, ВОЗМЕЩЕНИЕ УЩЕРБА</t>
  </si>
  <si>
    <t>ДОХОДЫ ОТ ПРЕДПРИНИМАТЕЛЬСКОЙ И ИНОЙ, ПРИНОСЯЩЕЙ ДОХОД  ДЕЯТЕЛЬНОСТИ</t>
  </si>
  <si>
    <t>ОХРАНА ОКРУЖАЮЩЕЙ СРЕДЫ</t>
  </si>
  <si>
    <t xml:space="preserve">           капремонт    </t>
  </si>
  <si>
    <t>СУБВЕНЦИИ</t>
  </si>
  <si>
    <t>ТРАНСФЕРТ</t>
  </si>
  <si>
    <t>Поступления от продажи имущества,находящегося в муниципальной собственности</t>
  </si>
  <si>
    <t>Доходы от использования лесного фонда</t>
  </si>
  <si>
    <t>Прочие неналоговые доходы</t>
  </si>
  <si>
    <t>Доходы от продажи оборудования,транспортных средств и др,матер,ценностей</t>
  </si>
  <si>
    <t>Справочно:</t>
  </si>
  <si>
    <t xml:space="preserve">             Резервный фонд</t>
  </si>
  <si>
    <t xml:space="preserve">             Выдано бюджетных кредитов</t>
  </si>
  <si>
    <t>АКЦИЗЫ ПО ПОДАКЦИЗН,ТОВАРАМ</t>
  </si>
  <si>
    <t>Бюджетная ссуда</t>
  </si>
  <si>
    <t xml:space="preserve"> ДОХОДЫ - всего</t>
  </si>
  <si>
    <t>Единый сельскохозяйственный налог</t>
  </si>
  <si>
    <t>Налоги на имущество физических лиц</t>
  </si>
  <si>
    <t>ДОХОДЫ ОТ ИСПОЛЬЗОВАНИЯ ИМУЩЕСТВА,НАХОДЯЩЕГОСЯ В ГОСУДАРСТВЕННОЙ И МУНИЦИПАЛЬНОЙ СОБСТВЕННОСТИ</t>
  </si>
  <si>
    <t>арендная плата за земли</t>
  </si>
  <si>
    <t>доходы от сдачи в аренду имущества,находящегося в оперативном управлении органов местного самоуправления</t>
  </si>
  <si>
    <t>ШТРАФЫ, САНКЦИИ,ВОЗМЕЩЕНИЕ УЩЕРБА</t>
  </si>
  <si>
    <t>ПРОЧИЕ НЕНАЛОГОВЫЕ ДОХОДЫ</t>
  </si>
  <si>
    <t>БЕЗВОЗМЕЗДНЫЕ ПОСТУПЛЕНИЯ</t>
  </si>
  <si>
    <t>ДОТАЦИИ НА ВЫРАВНИВАНИЕ УРОВНЯ БЮДЖЕТНОЙ ОБЕСПЕЧЕННОСТИ</t>
  </si>
  <si>
    <t>ДОХОДЫ ОТ ПРЕДПРИНИМАТЕЛЬСКОЙ И ИНОЙ ПРИНОСЯЩЕЙ ДОХОД ДЕЯТЕЛЬНОСТИ</t>
  </si>
  <si>
    <t>ОБЩЕГОСУДАРСТВЕННЫЕ ВОПРОСЫ</t>
  </si>
  <si>
    <t>Функционирование местных администраций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</si>
  <si>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</si>
  <si>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</si>
  <si>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</si>
  <si>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Убытки жилфонда</t>
  </si>
  <si>
    <t>КУЛЬТУРА,КИНЕМАТОГРАФИЯ,СРЕДСТВА МАССОВОЙ ИНФОРМАЦИИ</t>
  </si>
  <si>
    <t xml:space="preserve">     Культура</t>
  </si>
  <si>
    <t xml:space="preserve">    Спорт и физическая культура</t>
  </si>
  <si>
    <t>Налог на доходы физических лиц</t>
  </si>
  <si>
    <t>НАЛОГИ НА ПРИБЫЛЬ,ДОХОДЫ</t>
  </si>
  <si>
    <t>Невыясненные поступления</t>
  </si>
  <si>
    <t>Прочие неналоговые поступления</t>
  </si>
  <si>
    <t>ДРУГИЕ ВОПРОСЫ В ОБЛАСТИ НАЦИОНАЛЬНОЙ ЭКОНОМИКИ</t>
  </si>
  <si>
    <t xml:space="preserve">     Кадастр и мониторинг</t>
  </si>
  <si>
    <t xml:space="preserve">      Транспорт</t>
  </si>
  <si>
    <t>администрации Козловского района</t>
  </si>
  <si>
    <t>А.И.Чернова</t>
  </si>
  <si>
    <t>ДОТАЦИИ БЮДЖЕТАМ ПОСЕЛЕНИЙ НА ПОДДЕРЖКУ МЕР ПО ОБЕСПЕЧЕНИЮ СБАЛАНСИРОВАННОСТИ БЮДЖЕТОВ</t>
  </si>
  <si>
    <t>ДОТАЦИИ НА ПОДДЕРЖКУ МЕР ПО ОБЕСПЕЧЕНИЮ СБАЛАНСИРОВАННОСТИ БЮДЖЕТОВ</t>
  </si>
  <si>
    <t>ИСТОЧНИКИ ФИНАНСИРОВАНИЯ ДЕФИЦИТОВ БЮДЖЕТОВ</t>
  </si>
  <si>
    <t>НАЦИОНАЛЬНАЯ ОБОРОНА</t>
  </si>
  <si>
    <t xml:space="preserve">Прочие  неналоговые  доходы  бюджетов  поселений  </t>
  </si>
  <si>
    <t>СУБВЕНЦИИ БЮДЖЕТАМ ПОСЕЛЕНИЙ НА ОСУЩЕСТВЛЕНИЕ ПОЛНОМОЧИЙ ПО ПЕРВИЧНОМУ ВОИНСКОМУ УЧЕТУ НА ТЕРРИТОРИЯХ,ГДЕ ОТСУТСТВУЮТ ВОЕННЫЕ КОМИССАРИАТЫ</t>
  </si>
  <si>
    <t>СУБВЕНЦИИ  БЮДЖЕТАМ  ПОСЕЛЕНИЙ  НА  ВЫПОЛНЕНИЕ  ПЕРЕДАВАЕМЫХ  ПОЛНОМОЧИЙ  СУБЪЕКТОВ  РОССИЙСКОЙ  ФЕДЕРАЦИИ</t>
  </si>
  <si>
    <t>Другие общегосударственные вопросы</t>
  </si>
  <si>
    <t>Другие общегосударственные  вопросы</t>
  </si>
  <si>
    <t>Другие вопросы в области национальной  экономики</t>
  </si>
  <si>
    <t>Мероприятия по землеустройству и землепользованию</t>
  </si>
  <si>
    <t>ПРОЧИЕ  СУБСИДИИ  БЮДЖЕТАМ ПОСЕЛЕНИЙ</t>
  </si>
  <si>
    <t>ПРОЧИЕ  СУБСИДИИ БЮДЖЕТАМ  ПОСЕЛЕНИЙ</t>
  </si>
  <si>
    <t>СУБСИДИИ БЮДЖЕТАМ ПОСЕЛЕНИЙ НА ОБЕСПЕЧЕНИЕ  ЖИЛЬЕМ  МОЛОДЫХ  СЕМЕЙ</t>
  </si>
  <si>
    <t>СУБСИДИИ БЮДЖЕТАМ ПОСЕЛЕНИЙ НА  ОБЕСПЕЧЕНИЕ  ЖИЛЬЕМ  МОЛОДЫХ  СЕМЕЙ</t>
  </si>
  <si>
    <t>СУБСИДИИ  БЮДЖЕТАМ  ПОСЕЛЕНИЙ  НА  ОБЕСПЕЧЕНИЕ ЖИЛЬЕМ   МОЛОДЫХ  СЕМЕЙ</t>
  </si>
  <si>
    <t>СУБСИДИИ БЮДЖЕТАМ ПОСЕЛЕНИЙ НА ОБЕСПЕЧЕНИЕ ЖИЛЬЕМ  МОЛОДЫХ  СЕМЕЙ</t>
  </si>
  <si>
    <t>СУБСИДИИ  БЮДЖЕТАМ  ПОСЕЛЕНИЙ  НА  ОБЕСПЕЧЕНИЕ ЖИЛЬЕМ  МОЛОДЫХ СЕМЕЙ</t>
  </si>
  <si>
    <t>из них: уличное освещение</t>
  </si>
  <si>
    <t xml:space="preserve">            прочие мероприятия по благоустройству</t>
  </si>
  <si>
    <t>в том числе: Благоустройство</t>
  </si>
  <si>
    <t xml:space="preserve">           прочие мероприятия по благоустройству</t>
  </si>
  <si>
    <t>из них: уличное  освещение</t>
  </si>
  <si>
    <t xml:space="preserve">           прочие  мероприятия по  благоустройству</t>
  </si>
  <si>
    <t>из них:уличное  освещение</t>
  </si>
  <si>
    <t>в том  числе : Благоустройство</t>
  </si>
  <si>
    <t>из  них: оценка  недвижимости, признание прав и регулирование отношений по госуд.и муниц. собственн.</t>
  </si>
  <si>
    <t>в  том  числе :Коммунальное хозяйство</t>
  </si>
  <si>
    <t>из  них : дотация на покрытие убытков  ЖКХ</t>
  </si>
  <si>
    <t>из  них :уличное  освещение</t>
  </si>
  <si>
    <t xml:space="preserve">             озеленение</t>
  </si>
  <si>
    <t xml:space="preserve">             организация и содержание  мест захоронения</t>
  </si>
  <si>
    <t xml:space="preserve">             прочие мероприятия по благоустройству</t>
  </si>
  <si>
    <t>в том  числе :Благоустройство</t>
  </si>
  <si>
    <t>в  том  числе : Коммунальное хозяйство</t>
  </si>
  <si>
    <t>из них: дотация на возмещение убытков ЖКХ</t>
  </si>
  <si>
    <t xml:space="preserve">            мероприятия в области  коммунального  хозяйства</t>
  </si>
  <si>
    <t>В том числе : Благоустройство</t>
  </si>
  <si>
    <t xml:space="preserve">            озеленение</t>
  </si>
  <si>
    <t xml:space="preserve">            организация и содержание  мест  захоронения</t>
  </si>
  <si>
    <t xml:space="preserve">            прочие  мероприятия по  благоустройству</t>
  </si>
  <si>
    <t>в том числе : за счет средств республиканского бюджета</t>
  </si>
  <si>
    <t>ДОХОДЫ ОТ ПРОДАЖИ  МАТЕРИАЛЬНЫХ  И  НЕМАТЕРИАЛЬНЫХ АКТИВОВ</t>
  </si>
  <si>
    <t>доходы от  продажи  земельных участков , государственная собственность  на  которые не разграничена и которые  расположены в границах  поселений</t>
  </si>
  <si>
    <t>СУБСИДИИ  БЮДЖЕТАМ ПОСЕЛЕНИЙ НА  ОБЕСПЕЧЕНИЕ  ЖИЛЬЕМ   МОЛОДЫХ  СЕМЕЙ</t>
  </si>
  <si>
    <t>ДОХОДЫ ОТ ПРОДАЖИ  МАТЕРИАЛЬНЫХ И НЕМАТЕРИАЛЬНЫХ АКТИВОВ</t>
  </si>
  <si>
    <t>доходы от продажи земельных участков, государственная собственность на которые не разграничена  и которые расположены в границах поселений</t>
  </si>
  <si>
    <t xml:space="preserve">ПРОЧИЕ  СУБСИДИИ БЮДЖЕТАМ  ПОСЕЛЕНИЙ </t>
  </si>
  <si>
    <t xml:space="preserve">ПРОЧИЕ  СУБСИДИИ БЮДЖЕТАМ ПОСЕЛЕНИЙ </t>
  </si>
  <si>
    <t>СУБВЕНЦИИ  БЮДЖЕТАМ  ПОСЕЛЕНИЙ  НА  ОБЕСПЕЧЕНИЕ  ЖИЛЫМИ ПОМЕЩЕНИЯМИ ДЕТЕЙ- СИРОТ, ДЕТЕЙ, ОСТАВШИХСЯ БЕЗ ПОПЕЧЕНИЯ РОДИТЕЛЕЙ, А ТАКЖЕ ДЕТЕЙ, НАХОДЯЩИХСЯ ПО ОПЕКОЙ ( ПОПЕЧИТЕЛЬСТВОМ), НЕ ИМЕЮЩИХ ЗАКРЕПЛЕННОГО ЖИЛОГО ПОМЕЩЕНИЯ</t>
  </si>
  <si>
    <t xml:space="preserve">ПРОЧИЕ  СУБСИДИИ  БЮДЖЕТАМ  ПОСЕЛЕНИЙ </t>
  </si>
  <si>
    <t>СУБСИДИИ  БЮДЖЕТАМ ПОСЕЛЕНИЙ НА  ОСУЩЕСТВЛЕНИЕ МЕРОПРИЯТИЙ ПО  ОБЕСПЕЧЕНИЮ  ЖИЛЬЕМ   ГРАЖДАН  РФ, ПРОЖИВАЮЩИХ  В СЕЛЬСКОЙ МЕСТНОСТИ</t>
  </si>
  <si>
    <t xml:space="preserve">Обеспеч. жилыми помещ.детей-сирот и детей,оставш.без попеч.родит.  </t>
  </si>
  <si>
    <t xml:space="preserve">                      за  счет  местного  бюджета</t>
  </si>
  <si>
    <t>ДОХОДЫ ОТ ОКАЗАНИЯ ПЛАТНЫХ УСЛУГ И КОМПЕНСАЦИИ ЗАТРАТ ГОСУДАРСТВА</t>
  </si>
  <si>
    <t>прочие  доходы от  оказания платных услуг  получателями средств бюджетов  поселений и компенсации затрат государства бюджетов поселений</t>
  </si>
  <si>
    <t>СУБСИДИИ НА ОБЕСПЕЧЕНИЕ ЖИЛЬЕМ  МОЛОДЫХ  СЕМЕЙ  И  МОЛОДЫХ  СПЕЦИАЛИСТОВ,ПРОЖИВАЮЩИХ И РАБОТАЮЩИХ В СЕЛЬСКОЙ МЕСТНОСТИ</t>
  </si>
  <si>
    <t>Прочие доходы  от оказания платных услуг  получателями средств бюджетов  поселений и компенсации  затрат государства бюджетов поселений</t>
  </si>
  <si>
    <t>ВОЗВРАТ ОСТАТКОВ СУБСИДИЙ И СУБВЕНЦИЙ ПРОШЛЫХ ЛЕТ</t>
  </si>
  <si>
    <t>возмещение потерь сельскохозяйственного производства, связанных с изъятием  сельскохозяйственных угодий, расположенных на территориях поселений</t>
  </si>
  <si>
    <t xml:space="preserve">            содержание  автомобильных  дорог  (респ.)</t>
  </si>
  <si>
    <t xml:space="preserve">            содержание  автомобильных  дорог  (посел.)</t>
  </si>
  <si>
    <t xml:space="preserve">            содержание  автомобильных  дорог (респ.)</t>
  </si>
  <si>
    <t xml:space="preserve">            содержание  автомобильных  дорог (посел.)</t>
  </si>
  <si>
    <t xml:space="preserve">            содержание автомобильных  дорог ( респ.)</t>
  </si>
  <si>
    <t xml:space="preserve">            содержание автомобильных  дорог ( посел.)</t>
  </si>
  <si>
    <t xml:space="preserve">            содержание автомобильных дорог ( респ.)</t>
  </si>
  <si>
    <t xml:space="preserve">            содержание автомобильных дорог ( посел.)</t>
  </si>
  <si>
    <t xml:space="preserve">           содержание автомобильных дорог (респ.)</t>
  </si>
  <si>
    <t xml:space="preserve">           содержание автомобильных дорог (посел.)</t>
  </si>
  <si>
    <t xml:space="preserve">            содержание автомобильных дорог (респ.)</t>
  </si>
  <si>
    <t xml:space="preserve">            содержание автомобильных дорог (посел.)</t>
  </si>
  <si>
    <t xml:space="preserve">            содержание автомобильных дорог  (респ.)</t>
  </si>
  <si>
    <t xml:space="preserve">            содержание автомобильных дорог  (посел.)</t>
  </si>
  <si>
    <t xml:space="preserve">           содержание автомобильных дорог ( посел.)</t>
  </si>
  <si>
    <t>СУБСИДИИ БЮДЖЕТАМ ПОСЕЛЕНИЙ НА ОБЕСПЕЧЕНИЕ  ЖИЛЬЕМ  МОЛОДЫХ  СЕМЕЙ   МОЛОДЫХ  СПЕЦИАЛИСТОВ, ПРОЖИВАЮЩИХ И РАБОТАЮЩИХ В СЕЛЬСКОЙ  МЕСТНОСТИ</t>
  </si>
  <si>
    <t>СУБСИДИИ НА ОБЕСПЕЧЕНИЕ  ЖИЛЬЕМ  МОЛОДЫХ СЕМЕЙ  И МОЛОДЫХ  СПЕЦИАЛИСТОВ, ПРОЖИВАЮЩИХ  И РАБОТАЮЩИХ В СЕЛЬСКОЙ МЕСТНОСТИ</t>
  </si>
  <si>
    <t>СУБСИДИИ НА ОСУЩЕСТВЛЕНИЕ  МЕРОПРИЯТИЙ ПО ОБЕСПЕЧЕНИЮ ЖИЛЬЕМ ГРАЖДАН РФ,ПРОЖИВАЮЩИХ  В СЕЛЬСКОЙ МЕСТНОСТИ</t>
  </si>
  <si>
    <t>СУБСИДИИ БЮДЖЕТАМ  ПОСЕЛЕНИЙ  НА ОСУЩЕСТВЛЕНИЕ МЕРОПРИЯТИЙ  ПО ОБЕСПЕЧЕНИЮ ЖИЛЬЕМ  ГРАЖДАН РФ,ПРОЖИВАЮЩИХ В СЕЛЬСКОЙ МЕСТНОСТИ</t>
  </si>
  <si>
    <t>в  том  числе :Жилищное хозяйство</t>
  </si>
  <si>
    <t>расходы на обеспечение малоимущих граждан</t>
  </si>
  <si>
    <t xml:space="preserve">           организация и содержание  мест  захоронения</t>
  </si>
  <si>
    <t>Защита населения и территории  от последствий    чрезвычайных  ситуаций  природного и техногенного характера, гражданская оборона</t>
  </si>
  <si>
    <t>Защита населения и территории  от  последствий    чрезвычайных  ситуаций природного и техногенного характера, гражданская оборона</t>
  </si>
  <si>
    <t>ЗАДОЛЖЕННОСТЬ И ПЕРЕРАСЧЕТЫ ПО ОТМЕНЕННЫМ НАЛОГАМ, СБОРАМ И ИНЫМ ОБЯЗАТЕЛЬНЫМ ПЛАТЕЖАМ</t>
  </si>
  <si>
    <t>ЗАДОЛЖЕННОСТЬ И ПЕРЕРАСЧЕТЫ ПО ОТМЕНЕННЫМ  НАЛОГАМ, СБОРАМ И ИНЫМ ОБЯЗАТЕЛЬНЫМ ПЛАТЕЖАМ</t>
  </si>
  <si>
    <t>МЕЖБЮДЖЕТНЫЕ ТРАНСФЕРТЫ, ПЕРЕДАВАЕМЫЕ  БЮДЖЕТАМ  ПОСЕЛЕНИЙ ДЛЯ КОМПЕНСАЦИИ ДОПОЛНИТЕЛЬНЫХ РАСХОДОВ, ВОЗНИКШИХ В РЕЗУЛЬТАТЕ РЕШЕНИЙ, ПРИНЯТЫХ ОРГАНАМИ ВЛАСТИ  ДРУГОГО УРОВНЯ</t>
  </si>
  <si>
    <t>Защита населения и территории от последствий  чрезвычайных ситуаций природного и техногенного  характера, гражданская оборона</t>
  </si>
  <si>
    <t>в том числе: Коммунальное хозяйство</t>
  </si>
  <si>
    <t>ДОХОДЫ ОТ ОКАЗАНИЯ  ПЛАТНЫХ  УСЛУГ  И  КОМПЕНСАЦИИ  ЗАТРАТ  ГОСУДАРСТВА</t>
  </si>
  <si>
    <t>из них: капремонт  жилфонда</t>
  </si>
  <si>
    <t>СОЦИАЛЬНАЯ   ПОЛИТИКА</t>
  </si>
  <si>
    <t>ПРОЧИЕ МЕЖБЮДЖЕТНЫЕ ТРАНСФЕРТЫ,ПЕРЕДАВАЕМЫЕ БЮДЖЕТАМ ПОСЕЛЕНИЙ</t>
  </si>
  <si>
    <t>ВОЗВРАТ  ОСТАТКОВ СУБСИДИЙ И СУБВЕНЦИЙ ПРОШЛЫХ ЛЕТ</t>
  </si>
  <si>
    <t>в т.ч. оценка недвижимости, признание прав и регулирование отношений по госуд.и муниц. собств.</t>
  </si>
  <si>
    <t xml:space="preserve">           на расходы  по обесп.жильем малоимущ.</t>
  </si>
  <si>
    <t>ЗАДОЛЖЕННОСТЬ  И  ПЕРЕРАСЧЕТЫ  ПО  ОТМЕНЕНЫМ НАЛОГАМ, СБОРАМ И ИНЫМ ОБЯЗАТЕЛЬНЫМ ПЛАТЕЖАМ</t>
  </si>
  <si>
    <t xml:space="preserve">          реализ.дополн. меропр.,направл.на снижение напряжен.на рынке труда</t>
  </si>
  <si>
    <t xml:space="preserve">        реализ.дополн. меропр.,направл.на снижение напряжен.на рынке труда</t>
  </si>
  <si>
    <t>на развитие улично-дорожной сети (респ.)</t>
  </si>
  <si>
    <t>СУБВЕНЦИИ БЮДЖЕТАМ ПОСЕЛЕНИЙ НА ВЫПОЛНЕНИЕ ПЕРЕДАВАЕМЫХ ПОЛНОМОЧИЙ СУБЪЕКТОВ  РОССИЙСКОЙ  ФЕДЕРАЦИИ</t>
  </si>
  <si>
    <t>0</t>
  </si>
  <si>
    <t>Резервные фонды</t>
  </si>
  <si>
    <t xml:space="preserve">В том числе:Содержание аварийно-спасательного  звена </t>
  </si>
  <si>
    <t xml:space="preserve">                     Обеспечение противопожарной деятельности</t>
  </si>
  <si>
    <t>из них: капремонт жилфонда</t>
  </si>
  <si>
    <t xml:space="preserve"> в том числе: Благоустройство</t>
  </si>
  <si>
    <t xml:space="preserve"> из них:уличное освещение</t>
  </si>
  <si>
    <t>из них: капремонт   жилфонда</t>
  </si>
  <si>
    <t>Резервные  фонды</t>
  </si>
  <si>
    <t>МЕЖБЮДЖЕТНЫЕ ТРАНСФЕРТЫ, ПЕРЕДАВАЕМЫЕ  БЮДЖЕТАМ ПОСЕЛЕНИЙ НА КОМПЛЕКТОВАНИЕ  КНИЖНЫХ ФОНДОВ БИБЛИОТЕК МУНИЦИПАЛЬНЫХ ОБРАЗОВАНИЙ</t>
  </si>
  <si>
    <t>МЕЖБЮДЖЕТНЫЕ ТРАНСФЕРТЫ,ПЕРЕДАВАЕМЫЕ БЮДЖЕТАМ ПОСЕЛЕНИЙ  ДЛЯ КОМПЕНСАЦИИ  ДОПОЛНИТЕЛЬНЫХ РАСХОДОВ, ВОЗНИКШИХ В РЕЗУЛЬТАТЕ РЕШЕНИЙ, ПРИНЯТЫХ ОРГАНАМИ ВЛАСТИ ДРУГОГО УРОВНЯ</t>
  </si>
  <si>
    <t xml:space="preserve">          на развитие улично-дорожной сети сельских населенных пунктов</t>
  </si>
  <si>
    <t xml:space="preserve">Оказание материальной помощи  ( местн. бюджет)           </t>
  </si>
  <si>
    <t>Оказание  материальной  помощи</t>
  </si>
  <si>
    <t>СУБСИДИИ НА ОСУЩЕСТВЛЕНИЕ КАПИТАЛЬНОГО РЕМОНТА ОБЪЕКТОВ СОЦИАЛЬНО-КУЛЬТУРНОЙ СФЕРЫ</t>
  </si>
  <si>
    <t>МЕЖБЮДЖЕТНЫЕ ТРАНСФЕРТЫ, ПЕРЕДАВАЕМЫЕ  БЮДЖЕТАМ  ПОСЕЛЕНИЙ ДЛЯ КОМПЕНСАЦИИ  ДОПОЛНИТЕЛЬНЫХ РАСХОДОВ, ВОЗНИКШИХ В РЕЗУЛЬТАТЕ  РЕШЕНИЙ,ПРИНЯТЫХ ОРГАНАМИ ВЛАСТИ  ДРУГОГО УРОВНЯ</t>
  </si>
  <si>
    <t>в том числе: за счет республ.бюдж.</t>
  </si>
  <si>
    <t>СУБСИДИИ  БЮДЖЕТАМ ПОСЕЛЕНИЙ НА ОСУЩЕСТВЛЕНИЕ КАПИТАЛЬНОГО РЕМОНТА ГИДРОТЕХНИЧЕСКИХ СООРУЖЕНИЙ, НАХОДЯЩИХСЯ В МУНИЦИПАЛЬНОЙ СОБСТВЕННОСТИ , И БЕСХОЗЯЙНЫХ ГИДРОТЕХНИЧЕСКИХ СООРУЖЕНИЙ</t>
  </si>
  <si>
    <t>Мероприятия по капитальному ремонту гидротехнических сооружений</t>
  </si>
  <si>
    <t>в том числе: за счет федерального бюджета</t>
  </si>
  <si>
    <t xml:space="preserve">                     за счет республиканского бюджета</t>
  </si>
  <si>
    <t xml:space="preserve">                     за  счет  местного бюджета</t>
  </si>
  <si>
    <t>Водные ресурсы</t>
  </si>
  <si>
    <t xml:space="preserve"> В том числе: мероприятия по капитальному ремонту гидротехнических сооружений</t>
  </si>
  <si>
    <t>ВОДНЫЕ РЕСУРСЫ</t>
  </si>
  <si>
    <t>из них: мероприятия в области коммунального хозяйства</t>
  </si>
  <si>
    <t xml:space="preserve">         проектные работы по очистным сооружениям</t>
  </si>
  <si>
    <t>ИТОГО  БЕЗВОЗМЕЗДНЫХ ПОСТУПЛЕНИЙ</t>
  </si>
  <si>
    <t xml:space="preserve">      Водные ресурсы</t>
  </si>
  <si>
    <t>в том числе: на разработку проекта  реконстр.плотины- респ.бюдж. (А-Баз. посел.)</t>
  </si>
  <si>
    <t>Cубсидии на обеспечение  жильем  молодых  семей  ( респ.бюдж. согл. Указа Презид. ЧР № 51)</t>
  </si>
  <si>
    <t>Возмещение потерь с/х пр-ва, связанных с изъятием  с/х угодий</t>
  </si>
  <si>
    <t>невыясненные поступления</t>
  </si>
  <si>
    <t>субсидии на обеспечение  жильем молодых семей ( по Указу Президента № 51)</t>
  </si>
  <si>
    <t>Cубсидии на обеспечение  жильем  молодых  семей  ( местн.бюдж. согл. Указа Презид. ЧР № 51)</t>
  </si>
  <si>
    <t>СУБСИДИИ НА ОСУЩЕСТВЛЕНИЕ МЕРОПРИЯТИЙ ПО ОБЕСПЕЧЕНИЮ ЖИЛЬЕМ ГРАЖДАН РФ, ПРОЖИВАЮЩИХ  В СЕЛЬСКОЙ МЕСТНОСТИ</t>
  </si>
  <si>
    <t xml:space="preserve">ПРОЧИЕ  СУБСИДИИ БЮДЖЕТАМ  ПОСЕЛЕНИЙ  </t>
  </si>
  <si>
    <t>расходы по осуществлению капитального ремонта объектов социально-культурной сферы</t>
  </si>
  <si>
    <t>в том числе респ. бюджет</t>
  </si>
  <si>
    <t>местн. бюджет</t>
  </si>
  <si>
    <t>втом числе субсидии на поощрение победителей экономического соревнования между поселениями ЧР</t>
  </si>
  <si>
    <t>субсидии на софинансирование по осуществлению дорожной деятельности</t>
  </si>
  <si>
    <t>в т. ч. на разработку проекта  реконстр. плотины (респ.)</t>
  </si>
  <si>
    <t>в том числе за счет средств респ. бюд.</t>
  </si>
  <si>
    <t>осуществление первичного воинского учета на территориях, где отсутствуют военные комиссариаты (фед.)</t>
  </si>
  <si>
    <t>комплектование книжных фондов библиотек (фед.)</t>
  </si>
  <si>
    <t>возмещение потерь с/х пр-ва, связанных с изъятием  с/х угодий</t>
  </si>
  <si>
    <t>прочие неналоговые поступления</t>
  </si>
  <si>
    <t>в том числе субсидии на софинансирование по осуществлению дорожной деятельности</t>
  </si>
  <si>
    <t xml:space="preserve">            субв.по осущ.полном. по вед.учета граждан (респ.)</t>
  </si>
  <si>
    <t xml:space="preserve">прочие  неналоговые  доходы  бюджетов  поселений  </t>
  </si>
  <si>
    <t>Обеспечение  жилыми  помещениями  детей-сирот, детей, оставшихся без попечения родителей, а также детей, находящихся под опекой (попечительством), не имеющих закрепленного  жилого помещения (респ.)</t>
  </si>
  <si>
    <t xml:space="preserve">            субв.по осущ.полном. по вед.учета граждан (респ.),</t>
  </si>
  <si>
    <t>Налог на имущество физических лиц</t>
  </si>
  <si>
    <t>налог на доходы физических лиц</t>
  </si>
  <si>
    <t>единый сельскохозяйственный налог</t>
  </si>
  <si>
    <t>налоги на имущество физических лиц</t>
  </si>
  <si>
    <t>земельный налог</t>
  </si>
  <si>
    <t>СУБСИДИИ</t>
  </si>
  <si>
    <t>в том числе</t>
  </si>
  <si>
    <t>СУБСИДИИ  БЮДЖЕТАМ ПОСЕЛЕНИЙ НА ОСУЩЕСТВЛЕНИЕ КАПИТАЛЬНОГО РЕМОНТА ГИДРОТЕХНИЧЕСКИХ СООРУЖЕНИЙ, НАХОДЯЩИХСЯ В МУНИЦИПАЛЬНОЙ СОБСТВЕННОСТИ,, И БЕСХОЗЯЙНЫХ ГИДРОТЕХНИЧЕСКИХ СООРУЖЕНИЙ</t>
  </si>
  <si>
    <t>из них</t>
  </si>
  <si>
    <t>субсидии на поощрение победителей экономического соревнования между поселениями ЧР</t>
  </si>
  <si>
    <t>развитие улично-дорожной сети сельских населенных пунктов</t>
  </si>
  <si>
    <t>субсидии местным бюджетам на софинансирование расходов  бюджетов м/о по осуществлению дорожной деятельности, кроме деятельности по строительству в границах поселений</t>
  </si>
  <si>
    <t>субсидии местным бюджетам на софинансирование расходов бюджетов м/о по осуществлению капитального ремонта объектов социально-культурной сферы</t>
  </si>
  <si>
    <t>СУБВЕНЦИИ  БЮДЖЕТАМ  ПОСЕЛЕНИЙ  НА  ОБЕСПЕЧЕНИЕ  ЖИЛЫМИ ПОМЕЩЕНИЯМИ 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</si>
  <si>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ИНЫЕ МЕЖБЮДЖЕТНЫЕ ТРАНСФЕРТЫ</t>
  </si>
  <si>
    <t xml:space="preserve">            расходы по осуществлению полномочий по ведению учета граждан , нуждающихся в жилых помещениях  за счет субвенций бюджетам поселений (респ.)</t>
  </si>
  <si>
    <t xml:space="preserve">                     за  счет  местного бюджета (разработка проекта реконструкции плотины)</t>
  </si>
  <si>
    <t>районный бюджет</t>
  </si>
  <si>
    <t xml:space="preserve">                     за счет район. бюдж.</t>
  </si>
  <si>
    <t>ремонт клуба (район. ср-ва)</t>
  </si>
  <si>
    <t>на развитие улично-дорожной сети (район.)</t>
  </si>
  <si>
    <t>Уточнен-ный план на 2011 год</t>
  </si>
  <si>
    <t>% исполне-ния к  годовому плану  на 2011 г.</t>
  </si>
  <si>
    <t>Отклонение от годового плана 2011 г ( +, - )</t>
  </si>
  <si>
    <t>Уточненный план на 2011 год</t>
  </si>
  <si>
    <t>% исполнения к  годовому плану 2011 г.</t>
  </si>
  <si>
    <t>Отклонение от годового  плана 2011 г    ( +, - )</t>
  </si>
  <si>
    <t>% исполнения к  годовому  плану 2011 г.</t>
  </si>
  <si>
    <t>Отклонение от годового  плана  2011 г.( +, - )</t>
  </si>
  <si>
    <t>Отклонение от годового  плана 2011 г ( +, - )</t>
  </si>
  <si>
    <t>% исполнения к  годовому плану  2011 г.</t>
  </si>
  <si>
    <t>Отклонение от годового плана  2011 г. ( +, - )</t>
  </si>
  <si>
    <t>% исполнения к годовому  плану  2011 г.</t>
  </si>
  <si>
    <t>Отклонение от годового  плана  2011 г  ( +, - )</t>
  </si>
  <si>
    <t>% исполнения к  годовому  плану  2011 г.</t>
  </si>
  <si>
    <t>Отклонение от  годового  плана   2011 г ( +, - )</t>
  </si>
  <si>
    <t>Отклонение от годового  плана  2011 г     ( +, - )</t>
  </si>
  <si>
    <t>Отклонение от  годового  плана  2011 г ( +, - )</t>
  </si>
  <si>
    <t>Уточненный план на 2011  год</t>
  </si>
  <si>
    <t>Отклонение от годового  плана  2011 г ( +, - )</t>
  </si>
  <si>
    <t>возврат остатков субсид. прошл. лет из бюджетов поселений</t>
  </si>
  <si>
    <t>ДОТАЦИИ БЮДЖЕТАМ ПОСЕЛЕНИЙ НА ПОДДЕРЖКУ МЕР ПО ОБЕСЕЧЕНИЮ СБАЛАНСИРОВАННОСТИ БЮДЖЕТОВ</t>
  </si>
  <si>
    <t>из них: заработная плата</t>
  </si>
  <si>
    <t xml:space="preserve">из них: заработная плата </t>
  </si>
  <si>
    <t xml:space="preserve">из них: заработная плата  </t>
  </si>
  <si>
    <t>МЕЖБЮДЖЕТНЫЕ ТРАНСФЕРТЫ, ПЕРЕДАВАЕМЫЕ  БЮДЖЕТАМ ПОСЕЛЕНИЙ ДЛЯ КОМПЕНСАЦИИ ДОПОЛНИТЕЛЬНЫХ РАСХОДОВ, ВОЗНИКШИХ В РЕЗУЛЬТАТЕ РЕШЕНИЙ, ПРИНЯТЫХ ОРГАНАМИ ВЛАСТИ ДРУГОГО УРОВНЯ</t>
  </si>
  <si>
    <t xml:space="preserve">в том числе: заработная плата </t>
  </si>
  <si>
    <t xml:space="preserve">бюджетные инвестиции в объекты капитального строительства гос. собственности субъектов РФ (объекты капитального строительства собственности муниципальных образований) (расходы на строительство водопровода по ул. Радужная г. Козловка) </t>
  </si>
  <si>
    <t>бюджетные инвестиции в объекты капитального строительства гос. собственности субъектов РФ (объекты капитального строительства собственности муниципальных образований) (расходы на строительство водопровода по ул. Радужная г. Козловка) респ.</t>
  </si>
  <si>
    <t>бюджетные инвестиции в объекты капитального строительства гос. собственности субъектов РФ (объекты капитального строительства собственности муниципальных образований) (расходы на строительство водопровода по ул. Радужная г. Козловка) мест.</t>
  </si>
  <si>
    <t>ФИЗИЧЕСКАЯ КУЛЬТУРА И СПОРТ</t>
  </si>
  <si>
    <t xml:space="preserve">    физическая культура и спорт  </t>
  </si>
  <si>
    <t>СУБСИДИИ БЮДЖЕТАМ ПОСЕЛЕНИЙ НА СУЩЕСТВЛЕНИЕ МЕРОПРИЯТИЙ ПО ОБЕСПЕЧЕНИЮ ЖИЛЬЕМ ГРАЖДАН РФ, ПРОЖИВАЮЩИХ В СЕЛЬСКОЙ МЕСТНОСТИ</t>
  </si>
  <si>
    <t>доходы от реализации имущества</t>
  </si>
  <si>
    <t>СУБВЕНЦИИ БЮДЖЕТАМ ПОСЕЛЕНИЙ НА ОБЕСПЕЧЕНИЕ ЖИЛЫМИ ПОМЕЩЕНИЯМИ ДЕТЕЙ-СИРОТ, ОСТАВШИХСЯ БЕЗ ПОПЕЧЕНИЯ РОДИТЕЛЕЙ, А ТАКЖЕ ДЕТЕЙ, НАХОДЯЩИХСЯ ПОД ОПЕКОЙ (ПОПЕЧИТЕЛЬСТВОМ), НЕ ИМЕЮЩИХ ЗАКРЕПЛЕННОГО ЖИЛОГО ПОМЕЩЕНИЯ</t>
  </si>
  <si>
    <t>невыясненные поступления, зачисляемые в бюджеты поселений</t>
  </si>
  <si>
    <t>СУБВЕНЦИИ  БЮДЖЕТАМ  ПОСЕЛЕНИЙ  НА  ОБЕСПЕЧЕНИЕ  ЖИЛЫМИ ПОМЕЩЕНИЯМИ ДЕТЕЙ- СИРОТ, ДЕТЕЙ, ОСТАВШИХСЯ БЕЗ ПОПЕЧЕНИЯ РОДИТЕЛЕЙ, А ТАКЖЕ ДЕТЕЙ, НАХОДЯЩИХСЯ ПО ОПЕКОЙ (ПОПЕЧИТЕЛЬСТВОМ), НЕ ИМЕЮЩИХ ЗАКРЕПЛЕННОГО ЖИЛОГО ПОМЕЩЕНИЯ</t>
  </si>
  <si>
    <t>Социальное обеспечение населения</t>
  </si>
  <si>
    <t>ФЦП "Социальное развитие села до 2012 года"</t>
  </si>
  <si>
    <t>РЦП "Социальное развитие села в Чувашской Республике до 2012 года"</t>
  </si>
  <si>
    <t>социальное обеспечение населения</t>
  </si>
  <si>
    <t>Обеспеч. жильем молодых семей и молодых специалистов, прож. и работ. в сельской местности (фед. бюдж.)</t>
  </si>
  <si>
    <t>Субсидии на осуществление мероприятий по обеспечению жильем граждан РФ, проживающих в сельской местности</t>
  </si>
  <si>
    <t xml:space="preserve">Обеспеч. жильем молодых семей и молодых специалистов, прож. и работ. в сельской местности </t>
  </si>
  <si>
    <t xml:space="preserve">Обеспечение жильем молодых семей в рамках ФЦП "Жилище" на 2011-2015 годы </t>
  </si>
  <si>
    <t>субсидии на обеспечение  жильем молодых  семей и молодых специалистов, прожив.и работ. в сель.местности</t>
  </si>
  <si>
    <t xml:space="preserve">Обеспечение  жилыми  помещениями  детей-сирот, детей, оставшихся без попечения родителей, а также детей, находящихся под опекой (попечительством), не имеющих закрепленного  жилого помещения </t>
  </si>
  <si>
    <t>Обеспечение жильем молодых семей в рамках ФЦП "Жилище" на 2011-2015 годы</t>
  </si>
  <si>
    <t>меропр. в области  коммунального хозяйства</t>
  </si>
  <si>
    <t xml:space="preserve">субсидии на обеспеч.жильем  молодых  семей и  молодых  специалистов, проживающих и работающих в  сельской  местности </t>
  </si>
  <si>
    <t>обеспечение жильем молодых семей в рамках ФЦП "Жилище" на 2011-2015 годы</t>
  </si>
  <si>
    <t>в том числе: фед. бюдж.</t>
  </si>
  <si>
    <t xml:space="preserve">                    респ бюдж</t>
  </si>
  <si>
    <t xml:space="preserve">                    местн бюдж </t>
  </si>
  <si>
    <t>в том числе:  фед. бюджет</t>
  </si>
  <si>
    <t xml:space="preserve">                      местн. бюджет</t>
  </si>
  <si>
    <t xml:space="preserve">                      респ. бюджет</t>
  </si>
  <si>
    <t xml:space="preserve"> РЦП "Социальное развитие села в ЧР до 2012 года"                                          </t>
  </si>
  <si>
    <t xml:space="preserve"> ФЦП "Социальное развитие села до 2012 года"                                                       </t>
  </si>
  <si>
    <t xml:space="preserve">субсидии на обеспечение жильем молодых семей и специалистов, проживающих и работающих в сельской местности </t>
  </si>
  <si>
    <t xml:space="preserve">                     Обеспечение пожарной безопасности</t>
  </si>
  <si>
    <t xml:space="preserve">           расходы на переселение граждан  из ветхого жилья по РЦП "Переселение гражд. из ветх. и авар. жилфонда, расп. на терр. ЧР" на 2008-2011 г.г.</t>
  </si>
  <si>
    <t xml:space="preserve">Пособия по социальной помощи населению </t>
  </si>
  <si>
    <t>Обеспечение пожарной безопасности</t>
  </si>
  <si>
    <t xml:space="preserve">             содержание автомобильных дорог и инженерных  сооружений  на них (посел.)</t>
  </si>
  <si>
    <t>Анализ   исполнения   бюджетов   поселений   за  май 2011 года.</t>
  </si>
  <si>
    <t>Фактическое исполнение за май 2011 года</t>
  </si>
  <si>
    <t>Анализ исполнения бюджета  Янгильдинского сельского поселения за май 2011 года</t>
  </si>
  <si>
    <t>Анализ исполнения бюджета  Тюрлеминского сельского поселения за май 2011 года</t>
  </si>
  <si>
    <t>Анализ исполнения бюджета  Солдыбаевского сельского поселения за май 2011 года</t>
  </si>
  <si>
    <t>Анализ исполнения бюджета  Козловского  городского  поселения  за  май 2011  года</t>
  </si>
  <si>
    <t>Анализ исполнения бюджета  Карачевского сельского поселения за май 2011 года</t>
  </si>
  <si>
    <t>Анализ исполнения бюджета  Карамышевского сельского поселения за май 2011 года</t>
  </si>
  <si>
    <t>Анализ исполнения бюджета  Еметкинского сельского поселения за май 2011 года</t>
  </si>
  <si>
    <t>Анализ исполнения бюджета  Байгуловского сельского поселения за май 2011 года</t>
  </si>
  <si>
    <t>Анализ исполнения бюджета Аттиковского сельского поселения за май 2011 года</t>
  </si>
  <si>
    <t>Анализ  исполнения бюджета Андреево-Базарского сельского поселения за май 2011 года</t>
  </si>
  <si>
    <t>Реализация дополнительных мероприятий, направленных на снижение напряженности на рынке труда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</si>
</sst>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_-* #,##0.0_р_._-;\-* #,##0.0_р_._-;_-* &quot;-&quot;_р_._-;_-@_-"/>
    <numFmt numFmtId="168" formatCode="_-* #,##0.00_р_._-;\-* #,##0.00_р_._-;_-* &quot;-&quot;_р_._-;_-@_-"/>
    <numFmt numFmtId="169" formatCode="#,##0.0_ ;\-#,##0.0\ "/>
    <numFmt numFmtId="170" formatCode="#,##0.00_ ;\-#,##0.00\ 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</numFmts>
  <fonts count="12">
    <font>
      <sz val="10"/>
      <name val="Arial Cyr"/>
      <family val="0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b/>
      <i/>
      <sz val="10"/>
      <color indexed="10"/>
      <name val="Arial Cyr"/>
      <family val="2"/>
    </font>
    <font>
      <sz val="8"/>
      <name val="Arial Cyr"/>
      <family val="0"/>
    </font>
    <font>
      <sz val="11"/>
      <name val="Arial Cyr"/>
      <family val="2"/>
    </font>
    <font>
      <sz val="9"/>
      <name val="Arial Cyr"/>
      <family val="2"/>
    </font>
    <font>
      <i/>
      <sz val="10"/>
      <name val="Arial Cyr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41" fontId="0" fillId="0" borderId="0" xfId="19" applyFill="1" applyAlignment="1">
      <alignment horizontal="right"/>
    </xf>
    <xf numFmtId="41" fontId="0" fillId="0" borderId="0" xfId="19" applyFill="1" applyAlignment="1">
      <alignment horizontal="right" wrapText="1"/>
    </xf>
    <xf numFmtId="41" fontId="0" fillId="0" borderId="0" xfId="19" applyFill="1" applyAlignment="1">
      <alignment horizontal="center"/>
    </xf>
    <xf numFmtId="0" fontId="0" fillId="0" borderId="0" xfId="0" applyFill="1" applyAlignment="1">
      <alignment/>
    </xf>
    <xf numFmtId="41" fontId="0" fillId="0" borderId="0" xfId="19" applyFill="1" applyAlignment="1">
      <alignment/>
    </xf>
    <xf numFmtId="41" fontId="0" fillId="0" borderId="0" xfId="19" applyFill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1" fontId="0" fillId="0" borderId="1" xfId="19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right" wrapText="1"/>
    </xf>
    <xf numFmtId="41" fontId="0" fillId="0" borderId="1" xfId="19" applyFill="1" applyBorder="1" applyAlignment="1">
      <alignment wrapText="1"/>
    </xf>
    <xf numFmtId="0" fontId="0" fillId="0" borderId="2" xfId="0" applyFill="1" applyBorder="1" applyAlignment="1">
      <alignment horizontal="center" vertical="center" wrapText="1"/>
    </xf>
    <xf numFmtId="1" fontId="0" fillId="0" borderId="3" xfId="19" applyNumberFormat="1" applyFill="1" applyBorder="1" applyAlignment="1">
      <alignment horizontal="center" wrapText="1"/>
    </xf>
    <xf numFmtId="41" fontId="0" fillId="0" borderId="3" xfId="19" applyFill="1" applyBorder="1" applyAlignment="1">
      <alignment horizontal="right" wrapText="1"/>
    </xf>
    <xf numFmtId="0" fontId="5" fillId="0" borderId="2" xfId="0" applyFont="1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2" xfId="0" applyFill="1" applyBorder="1" applyAlignment="1">
      <alignment horizontal="left" wrapText="1"/>
    </xf>
    <xf numFmtId="0" fontId="3" fillId="0" borderId="2" xfId="0" applyFont="1" applyFill="1" applyBorder="1" applyAlignment="1">
      <alignment wrapText="1"/>
    </xf>
    <xf numFmtId="0" fontId="5" fillId="0" borderId="4" xfId="0" applyFont="1" applyFill="1" applyBorder="1" applyAlignment="1">
      <alignment horizontal="center" vertical="center" wrapText="1"/>
    </xf>
    <xf numFmtId="41" fontId="6" fillId="0" borderId="0" xfId="19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2" xfId="0" applyFont="1" applyFill="1" applyBorder="1" applyAlignment="1">
      <alignment horizontal="right" wrapText="1"/>
    </xf>
    <xf numFmtId="0" fontId="5" fillId="0" borderId="0" xfId="0" applyFont="1" applyFill="1" applyAlignment="1">
      <alignment horizontal="center" vertical="center" wrapText="1"/>
    </xf>
    <xf numFmtId="2" fontId="0" fillId="0" borderId="1" xfId="0" applyNumberFormat="1" applyFill="1" applyBorder="1" applyAlignment="1">
      <alignment horizontal="right" wrapText="1"/>
    </xf>
    <xf numFmtId="2" fontId="0" fillId="0" borderId="1" xfId="0" applyNumberFormat="1" applyFill="1" applyBorder="1" applyAlignment="1">
      <alignment wrapText="1"/>
    </xf>
    <xf numFmtId="2" fontId="0" fillId="0" borderId="1" xfId="17" applyNumberFormat="1" applyFill="1" applyBorder="1" applyAlignment="1">
      <alignment wrapText="1"/>
    </xf>
    <xf numFmtId="2" fontId="0" fillId="0" borderId="1" xfId="19" applyNumberFormat="1" applyFill="1" applyBorder="1" applyAlignment="1">
      <alignment horizontal="right" wrapText="1"/>
    </xf>
    <xf numFmtId="2" fontId="0" fillId="0" borderId="1" xfId="19" applyNumberFormat="1" applyFill="1" applyBorder="1" applyAlignment="1">
      <alignment wrapText="1"/>
    </xf>
    <xf numFmtId="1" fontId="0" fillId="0" borderId="1" xfId="0" applyNumberFormat="1" applyFill="1" applyBorder="1" applyAlignment="1">
      <alignment horizontal="center" wrapText="1"/>
    </xf>
    <xf numFmtId="0" fontId="4" fillId="0" borderId="2" xfId="0" applyFont="1" applyFill="1" applyBorder="1" applyAlignment="1">
      <alignment wrapText="1"/>
    </xf>
    <xf numFmtId="2" fontId="0" fillId="0" borderId="1" xfId="0" applyNumberFormat="1" applyFont="1" applyFill="1" applyBorder="1" applyAlignment="1">
      <alignment wrapText="1"/>
    </xf>
    <xf numFmtId="41" fontId="5" fillId="0" borderId="5" xfId="19" applyFont="1" applyFill="1" applyBorder="1" applyAlignment="1">
      <alignment horizontal="center" vertical="center" wrapText="1"/>
    </xf>
    <xf numFmtId="2" fontId="0" fillId="0" borderId="1" xfId="19" applyNumberFormat="1" applyFont="1" applyFill="1" applyBorder="1" applyAlignment="1">
      <alignment horizontal="right" wrapText="1"/>
    </xf>
    <xf numFmtId="1" fontId="0" fillId="0" borderId="6" xfId="19" applyNumberFormat="1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wrapText="1"/>
    </xf>
    <xf numFmtId="41" fontId="5" fillId="0" borderId="8" xfId="19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41" fontId="10" fillId="0" borderId="0" xfId="19" applyFont="1" applyFill="1" applyAlignment="1">
      <alignment/>
    </xf>
    <xf numFmtId="2" fontId="10" fillId="0" borderId="1" xfId="0" applyNumberFormat="1" applyFont="1" applyFill="1" applyBorder="1" applyAlignment="1">
      <alignment wrapText="1"/>
    </xf>
    <xf numFmtId="2" fontId="10" fillId="0" borderId="1" xfId="0" applyNumberFormat="1" applyFont="1" applyFill="1" applyBorder="1" applyAlignment="1">
      <alignment horizontal="right" wrapText="1"/>
    </xf>
    <xf numFmtId="2" fontId="10" fillId="0" borderId="1" xfId="17" applyNumberFormat="1" applyFont="1" applyFill="1" applyBorder="1" applyAlignment="1">
      <alignment wrapText="1"/>
    </xf>
    <xf numFmtId="0" fontId="10" fillId="0" borderId="2" xfId="0" applyFont="1" applyFill="1" applyBorder="1" applyAlignment="1">
      <alignment wrapText="1"/>
    </xf>
    <xf numFmtId="2" fontId="10" fillId="0" borderId="3" xfId="19" applyNumberFormat="1" applyFont="1" applyFill="1" applyBorder="1" applyAlignment="1">
      <alignment horizontal="right" wrapText="1"/>
    </xf>
    <xf numFmtId="0" fontId="10" fillId="0" borderId="0" xfId="0" applyFont="1" applyFill="1" applyAlignment="1">
      <alignment wrapText="1"/>
    </xf>
    <xf numFmtId="41" fontId="10" fillId="0" borderId="0" xfId="19" applyFont="1" applyFill="1" applyAlignment="1">
      <alignment wrapText="1"/>
    </xf>
    <xf numFmtId="41" fontId="10" fillId="0" borderId="0" xfId="19" applyFont="1" applyFill="1" applyAlignment="1">
      <alignment horizontal="right" wrapText="1"/>
    </xf>
    <xf numFmtId="0" fontId="0" fillId="0" borderId="2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wrapText="1"/>
    </xf>
    <xf numFmtId="2" fontId="0" fillId="0" borderId="3" xfId="19" applyNumberFormat="1" applyFill="1" applyBorder="1" applyAlignment="1">
      <alignment horizontal="right" wrapText="1"/>
    </xf>
    <xf numFmtId="2" fontId="4" fillId="0" borderId="1" xfId="0" applyNumberFormat="1" applyFont="1" applyFill="1" applyBorder="1" applyAlignment="1">
      <alignment horizontal="right" wrapText="1"/>
    </xf>
    <xf numFmtId="2" fontId="1" fillId="0" borderId="1" xfId="0" applyNumberFormat="1" applyFont="1" applyFill="1" applyBorder="1" applyAlignment="1">
      <alignment horizontal="right" wrapText="1"/>
    </xf>
    <xf numFmtId="2" fontId="2" fillId="0" borderId="1" xfId="19" applyNumberFormat="1" applyFont="1" applyFill="1" applyBorder="1" applyAlignment="1">
      <alignment wrapText="1"/>
    </xf>
    <xf numFmtId="41" fontId="0" fillId="0" borderId="0" xfId="19" applyFill="1" applyAlignment="1">
      <alignment/>
    </xf>
    <xf numFmtId="1" fontId="0" fillId="0" borderId="1" xfId="19" applyNumberFormat="1" applyFont="1" applyFill="1" applyBorder="1" applyAlignment="1">
      <alignment horizontal="center" wrapText="1"/>
    </xf>
    <xf numFmtId="1" fontId="0" fillId="0" borderId="3" xfId="19" applyNumberFormat="1" applyFill="1" applyBorder="1" applyAlignment="1">
      <alignment horizontal="center" wrapText="1"/>
    </xf>
    <xf numFmtId="41" fontId="0" fillId="0" borderId="1" xfId="19" applyFill="1" applyBorder="1" applyAlignment="1">
      <alignment wrapText="1"/>
    </xf>
    <xf numFmtId="41" fontId="0" fillId="0" borderId="3" xfId="19" applyFill="1" applyBorder="1" applyAlignment="1">
      <alignment horizontal="right" wrapText="1"/>
    </xf>
    <xf numFmtId="2" fontId="0" fillId="0" borderId="1" xfId="17" applyNumberFormat="1" applyFill="1" applyBorder="1" applyAlignment="1">
      <alignment wrapText="1"/>
    </xf>
    <xf numFmtId="2" fontId="0" fillId="0" borderId="3" xfId="19" applyNumberFormat="1" applyFill="1" applyBorder="1" applyAlignment="1">
      <alignment horizontal="right" wrapText="1"/>
    </xf>
    <xf numFmtId="2" fontId="0" fillId="0" borderId="1" xfId="19" applyNumberFormat="1" applyFill="1" applyBorder="1" applyAlignment="1">
      <alignment horizontal="right" wrapText="1"/>
    </xf>
    <xf numFmtId="41" fontId="0" fillId="0" borderId="0" xfId="19" applyFill="1" applyAlignment="1">
      <alignment wrapText="1"/>
    </xf>
    <xf numFmtId="41" fontId="0" fillId="0" borderId="0" xfId="19" applyFill="1" applyAlignment="1">
      <alignment horizontal="right" wrapText="1"/>
    </xf>
    <xf numFmtId="0" fontId="10" fillId="0" borderId="2" xfId="0" applyFont="1" applyFill="1" applyBorder="1" applyAlignment="1">
      <alignment wrapText="1"/>
    </xf>
    <xf numFmtId="2" fontId="10" fillId="0" borderId="1" xfId="0" applyNumberFormat="1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2" fontId="9" fillId="0" borderId="0" xfId="19" applyNumberFormat="1" applyFont="1" applyFill="1" applyAlignment="1">
      <alignment wrapText="1"/>
    </xf>
    <xf numFmtId="2" fontId="9" fillId="0" borderId="0" xfId="0" applyNumberFormat="1" applyFont="1" applyFill="1" applyAlignment="1">
      <alignment wrapText="1"/>
    </xf>
    <xf numFmtId="2" fontId="9" fillId="0" borderId="0" xfId="19" applyNumberFormat="1" applyFont="1" applyFill="1" applyAlignment="1">
      <alignment horizontal="right" wrapText="1"/>
    </xf>
    <xf numFmtId="0" fontId="0" fillId="0" borderId="2" xfId="0" applyFont="1" applyFill="1" applyBorder="1" applyAlignment="1">
      <alignment horizontal="center" vertical="center" wrapText="1"/>
    </xf>
    <xf numFmtId="1" fontId="0" fillId="0" borderId="1" xfId="19" applyNumberFormat="1" applyFont="1" applyFill="1" applyBorder="1" applyAlignment="1">
      <alignment horizontal="center" wrapText="1"/>
    </xf>
    <xf numFmtId="1" fontId="0" fillId="0" borderId="1" xfId="0" applyNumberFormat="1" applyFont="1" applyFill="1" applyBorder="1" applyAlignment="1">
      <alignment horizontal="center" wrapText="1"/>
    </xf>
    <xf numFmtId="1" fontId="0" fillId="0" borderId="3" xfId="19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41" fontId="0" fillId="0" borderId="1" xfId="19" applyFont="1" applyFill="1" applyBorder="1" applyAlignment="1">
      <alignment wrapText="1"/>
    </xf>
    <xf numFmtId="41" fontId="0" fillId="0" borderId="3" xfId="19" applyFont="1" applyFill="1" applyBorder="1" applyAlignment="1">
      <alignment horizontal="right" wrapText="1"/>
    </xf>
    <xf numFmtId="0" fontId="0" fillId="0" borderId="0" xfId="0" applyFont="1" applyFill="1" applyAlignment="1">
      <alignment wrapText="1"/>
    </xf>
    <xf numFmtId="0" fontId="4" fillId="0" borderId="2" xfId="0" applyFont="1" applyFill="1" applyBorder="1" applyAlignment="1">
      <alignment wrapText="1"/>
    </xf>
    <xf numFmtId="41" fontId="4" fillId="0" borderId="1" xfId="19" applyFont="1" applyFill="1" applyBorder="1" applyAlignment="1">
      <alignment horizontal="right" wrapText="1"/>
    </xf>
    <xf numFmtId="2" fontId="4" fillId="0" borderId="1" xfId="17" applyNumberFormat="1" applyFont="1" applyFill="1" applyBorder="1" applyAlignment="1">
      <alignment wrapText="1"/>
    </xf>
    <xf numFmtId="165" fontId="4" fillId="0" borderId="3" xfId="19" applyNumberFormat="1" applyFont="1" applyFill="1" applyBorder="1" applyAlignment="1">
      <alignment horizontal="right" wrapText="1"/>
    </xf>
    <xf numFmtId="0" fontId="0" fillId="0" borderId="2" xfId="0" applyFont="1" applyFill="1" applyBorder="1" applyAlignment="1">
      <alignment horizontal="left" wrapText="1"/>
    </xf>
    <xf numFmtId="2" fontId="0" fillId="0" borderId="1" xfId="0" applyNumberFormat="1" applyFont="1" applyFill="1" applyBorder="1" applyAlignment="1">
      <alignment horizontal="right" wrapText="1"/>
    </xf>
    <xf numFmtId="2" fontId="0" fillId="0" borderId="1" xfId="17" applyNumberFormat="1" applyFont="1" applyFill="1" applyBorder="1" applyAlignment="1">
      <alignment wrapText="1"/>
    </xf>
    <xf numFmtId="2" fontId="0" fillId="0" borderId="3" xfId="19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2" fontId="0" fillId="0" borderId="1" xfId="19" applyNumberFormat="1" applyFont="1" applyFill="1" applyBorder="1" applyAlignment="1">
      <alignment horizontal="right" wrapText="1"/>
    </xf>
    <xf numFmtId="0" fontId="11" fillId="0" borderId="2" xfId="0" applyFont="1" applyFill="1" applyBorder="1" applyAlignment="1">
      <alignment wrapText="1"/>
    </xf>
    <xf numFmtId="2" fontId="0" fillId="0" borderId="1" xfId="19" applyNumberFormat="1" applyFont="1" applyFill="1" applyBorder="1" applyAlignment="1">
      <alignment wrapText="1"/>
    </xf>
    <xf numFmtId="2" fontId="4" fillId="0" borderId="3" xfId="19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9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2" fontId="0" fillId="0" borderId="10" xfId="19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2" fontId="0" fillId="0" borderId="12" xfId="19" applyNumberFormat="1" applyFont="1" applyFill="1" applyBorder="1" applyAlignment="1">
      <alignment wrapText="1"/>
    </xf>
    <xf numFmtId="0" fontId="0" fillId="0" borderId="1" xfId="0" applyFill="1" applyBorder="1" applyAlignment="1">
      <alignment horizontal="center" vertical="center" wrapText="1"/>
    </xf>
    <xf numFmtId="0" fontId="0" fillId="0" borderId="11" xfId="0" applyFill="1" applyBorder="1" applyAlignment="1">
      <alignment wrapText="1"/>
    </xf>
    <xf numFmtId="2" fontId="0" fillId="0" borderId="12" xfId="0" applyNumberFormat="1" applyFill="1" applyBorder="1" applyAlignment="1">
      <alignment wrapText="1"/>
    </xf>
    <xf numFmtId="2" fontId="0" fillId="0" borderId="12" xfId="17" applyNumberFormat="1" applyFill="1" applyBorder="1" applyAlignment="1">
      <alignment wrapText="1"/>
    </xf>
    <xf numFmtId="2" fontId="0" fillId="0" borderId="13" xfId="19" applyNumberFormat="1" applyFill="1" applyBorder="1" applyAlignment="1">
      <alignment horizontal="right" wrapText="1"/>
    </xf>
    <xf numFmtId="0" fontId="5" fillId="0" borderId="8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2" fontId="0" fillId="0" borderId="15" xfId="19" applyNumberFormat="1" applyFont="1" applyFill="1" applyBorder="1" applyAlignment="1">
      <alignment horizontal="right" wrapText="1"/>
    </xf>
    <xf numFmtId="2" fontId="0" fillId="0" borderId="6" xfId="17" applyNumberFormat="1" applyFont="1" applyFill="1" applyBorder="1" applyAlignment="1">
      <alignment wrapText="1"/>
    </xf>
    <xf numFmtId="2" fontId="0" fillId="0" borderId="16" xfId="19" applyNumberFormat="1" applyFont="1" applyFill="1" applyBorder="1" applyAlignment="1">
      <alignment horizontal="right" wrapText="1"/>
    </xf>
    <xf numFmtId="2" fontId="0" fillId="0" borderId="12" xfId="0" applyNumberFormat="1" applyFont="1" applyFill="1" applyBorder="1" applyAlignment="1">
      <alignment wrapText="1"/>
    </xf>
    <xf numFmtId="2" fontId="0" fillId="0" borderId="12" xfId="17" applyNumberFormat="1" applyFont="1" applyFill="1" applyBorder="1" applyAlignment="1">
      <alignment wrapText="1"/>
    </xf>
    <xf numFmtId="2" fontId="0" fillId="0" borderId="13" xfId="19" applyNumberFormat="1" applyFont="1" applyFill="1" applyBorder="1" applyAlignment="1">
      <alignment horizontal="right" wrapText="1"/>
    </xf>
    <xf numFmtId="0" fontId="9" fillId="0" borderId="0" xfId="0" applyFont="1" applyFill="1" applyAlignment="1">
      <alignment wrapText="1"/>
    </xf>
    <xf numFmtId="2" fontId="9" fillId="0" borderId="0" xfId="19" applyNumberFormat="1" applyFont="1" applyFill="1" applyAlignment="1">
      <alignment wrapText="1"/>
    </xf>
    <xf numFmtId="2" fontId="9" fillId="0" borderId="0" xfId="0" applyNumberFormat="1" applyFont="1" applyFill="1" applyAlignment="1">
      <alignment wrapText="1"/>
    </xf>
    <xf numFmtId="2" fontId="9" fillId="0" borderId="0" xfId="19" applyNumberFormat="1" applyFont="1" applyFill="1" applyAlignment="1">
      <alignment horizontal="right" wrapText="1"/>
    </xf>
    <xf numFmtId="0" fontId="4" fillId="0" borderId="2" xfId="0" applyFont="1" applyFill="1" applyBorder="1" applyAlignment="1">
      <alignment horizontal="center" wrapText="1"/>
    </xf>
    <xf numFmtId="2" fontId="0" fillId="0" borderId="12" xfId="17" applyNumberFormat="1" applyFill="1" applyBorder="1" applyAlignment="1">
      <alignment wrapText="1"/>
    </xf>
    <xf numFmtId="2" fontId="0" fillId="0" borderId="13" xfId="19" applyNumberFormat="1" applyFill="1" applyBorder="1" applyAlignment="1">
      <alignment horizontal="right" wrapText="1"/>
    </xf>
    <xf numFmtId="2" fontId="0" fillId="0" borderId="1" xfId="0" applyNumberFormat="1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2" fontId="0" fillId="0" borderId="1" xfId="19" applyNumberFormat="1" applyFont="1" applyFill="1" applyBorder="1" applyAlignment="1">
      <alignment horizontal="right" wrapText="1"/>
    </xf>
    <xf numFmtId="2" fontId="0" fillId="0" borderId="1" xfId="0" applyNumberFormat="1" applyFont="1" applyFill="1" applyBorder="1" applyAlignment="1">
      <alignment horizontal="right" wrapText="1"/>
    </xf>
    <xf numFmtId="0" fontId="11" fillId="0" borderId="2" xfId="0" applyFont="1" applyFill="1" applyBorder="1" applyAlignment="1">
      <alignment wrapText="1"/>
    </xf>
    <xf numFmtId="2" fontId="11" fillId="0" borderId="1" xfId="0" applyNumberFormat="1" applyFont="1" applyFill="1" applyBorder="1" applyAlignment="1">
      <alignment wrapText="1"/>
    </xf>
    <xf numFmtId="2" fontId="11" fillId="0" borderId="1" xfId="19" applyNumberFormat="1" applyFont="1" applyFill="1" applyBorder="1" applyAlignment="1">
      <alignment horizontal="right" wrapText="1"/>
    </xf>
    <xf numFmtId="2" fontId="0" fillId="0" borderId="1" xfId="0" applyNumberFormat="1" applyFont="1" applyFill="1" applyBorder="1" applyAlignment="1">
      <alignment wrapText="1"/>
    </xf>
    <xf numFmtId="0" fontId="0" fillId="0" borderId="17" xfId="0" applyFill="1" applyBorder="1" applyAlignment="1">
      <alignment wrapText="1"/>
    </xf>
    <xf numFmtId="2" fontId="0" fillId="0" borderId="0" xfId="19" applyNumberFormat="1" applyFill="1" applyBorder="1" applyAlignment="1">
      <alignment horizontal="right" wrapText="1"/>
    </xf>
    <xf numFmtId="2" fontId="0" fillId="0" borderId="17" xfId="0" applyNumberFormat="1" applyFill="1" applyBorder="1" applyAlignment="1">
      <alignment wrapText="1"/>
    </xf>
    <xf numFmtId="2" fontId="11" fillId="0" borderId="1" xfId="0" applyNumberFormat="1" applyFont="1" applyBorder="1" applyAlignment="1">
      <alignment/>
    </xf>
    <xf numFmtId="4" fontId="0" fillId="0" borderId="1" xfId="0" applyNumberFormat="1" applyFont="1" applyFill="1" applyBorder="1" applyAlignment="1">
      <alignment horizontal="right" vertical="top" shrinkToFit="1"/>
    </xf>
    <xf numFmtId="0" fontId="0" fillId="0" borderId="2" xfId="0" applyFont="1" applyFill="1" applyBorder="1" applyAlignment="1">
      <alignment wrapText="1"/>
    </xf>
    <xf numFmtId="2" fontId="0" fillId="0" borderId="1" xfId="0" applyNumberFormat="1" applyFont="1" applyBorder="1" applyAlignment="1">
      <alignment/>
    </xf>
    <xf numFmtId="2" fontId="4" fillId="0" borderId="1" xfId="0" applyNumberFormat="1" applyFont="1" applyFill="1" applyBorder="1" applyAlignment="1">
      <alignment horizontal="right" wrapText="1"/>
    </xf>
    <xf numFmtId="2" fontId="0" fillId="0" borderId="1" xfId="19" applyNumberFormat="1" applyFont="1" applyFill="1" applyBorder="1" applyAlignment="1">
      <alignment wrapText="1"/>
    </xf>
    <xf numFmtId="2" fontId="9" fillId="0" borderId="0" xfId="0" applyNumberFormat="1" applyFont="1" applyFill="1" applyAlignment="1">
      <alignment horizontal="center" wrapText="1"/>
    </xf>
    <xf numFmtId="41" fontId="5" fillId="0" borderId="0" xfId="19" applyFont="1" applyFill="1" applyAlignment="1">
      <alignment horizontal="center"/>
    </xf>
    <xf numFmtId="41" fontId="6" fillId="0" borderId="0" xfId="19" applyFont="1" applyFill="1" applyAlignment="1">
      <alignment horizontal="center"/>
    </xf>
    <xf numFmtId="2" fontId="9" fillId="0" borderId="0" xfId="0" applyNumberFormat="1" applyFont="1" applyFill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3"/>
  <sheetViews>
    <sheetView zoomScale="75" zoomScaleNormal="75" zoomScaleSheetLayoutView="75" workbookViewId="0" topLeftCell="A93">
      <selection activeCell="A99" sqref="A99:IV99"/>
    </sheetView>
  </sheetViews>
  <sheetFormatPr defaultColWidth="9.00390625" defaultRowHeight="12.75"/>
  <cols>
    <col min="1" max="1" width="90.875" style="4" customWidth="1"/>
    <col min="2" max="2" width="13.625" style="4" customWidth="1"/>
    <col min="3" max="3" width="16.375" style="5" customWidth="1"/>
    <col min="4" max="4" width="14.25390625" style="4" customWidth="1"/>
    <col min="5" max="5" width="16.125" style="1" customWidth="1"/>
    <col min="6" max="6" width="14.00390625" style="4" customWidth="1"/>
    <col min="7" max="9" width="9.125" style="4" customWidth="1"/>
    <col min="10" max="10" width="2.125" style="4" customWidth="1"/>
    <col min="11" max="16384" width="9.125" style="4" customWidth="1"/>
  </cols>
  <sheetData>
    <row r="1" spans="1:10" s="22" customFormat="1" ht="18">
      <c r="A1" s="140" t="s">
        <v>317</v>
      </c>
      <c r="B1" s="140"/>
      <c r="C1" s="140"/>
      <c r="D1" s="140"/>
      <c r="E1" s="140"/>
      <c r="F1" s="21"/>
      <c r="G1" s="21"/>
      <c r="H1" s="21"/>
      <c r="I1" s="21"/>
      <c r="J1" s="21"/>
    </row>
    <row r="2" spans="1:5" ht="13.5" thickBot="1">
      <c r="A2" s="39"/>
      <c r="B2" s="39"/>
      <c r="C2" s="40"/>
      <c r="D2" s="39"/>
      <c r="E2" s="39" t="s">
        <v>0</v>
      </c>
    </row>
    <row r="3" spans="1:5" s="24" customFormat="1" ht="96.75" customHeight="1">
      <c r="A3" s="36" t="s">
        <v>1</v>
      </c>
      <c r="B3" s="20" t="s">
        <v>242</v>
      </c>
      <c r="C3" s="33" t="s">
        <v>307</v>
      </c>
      <c r="D3" s="20" t="s">
        <v>243</v>
      </c>
      <c r="E3" s="38" t="s">
        <v>244</v>
      </c>
    </row>
    <row r="4" spans="1:5" s="75" customFormat="1" ht="10.5" customHeight="1">
      <c r="A4" s="71">
        <v>1</v>
      </c>
      <c r="B4" s="105">
        <v>2</v>
      </c>
      <c r="C4" s="72">
        <v>3</v>
      </c>
      <c r="D4" s="73">
        <v>4</v>
      </c>
      <c r="E4" s="74">
        <v>5</v>
      </c>
    </row>
    <row r="5" spans="1:5" s="78" customFormat="1" ht="12.75">
      <c r="A5" s="23" t="s">
        <v>2</v>
      </c>
      <c r="B5" s="11"/>
      <c r="C5" s="76"/>
      <c r="D5" s="32"/>
      <c r="E5" s="77"/>
    </row>
    <row r="6" spans="1:5" s="9" customFormat="1" ht="12.75" customHeight="1" hidden="1">
      <c r="A6" s="79" t="s">
        <v>38</v>
      </c>
      <c r="B6" s="80"/>
      <c r="C6" s="80" t="e">
        <f>SUM(C7,C11,C14,C17,#REF!,#REF!,C10,)</f>
        <v>#REF!</v>
      </c>
      <c r="D6" s="81" t="e">
        <f>IF(#REF!=0,"   ",C6/#REF!)</f>
        <v>#REF!</v>
      </c>
      <c r="E6" s="82" t="e">
        <f>C6-#REF!</f>
        <v>#REF!</v>
      </c>
    </row>
    <row r="7" spans="1:5" s="87" customFormat="1" ht="12.75">
      <c r="A7" s="83" t="s">
        <v>59</v>
      </c>
      <c r="B7" s="84">
        <f>SUM(B9)</f>
        <v>130400</v>
      </c>
      <c r="C7" s="84">
        <f>SUM(C9,)</f>
        <v>71969.26</v>
      </c>
      <c r="D7" s="85">
        <f>IF(B7=0,"   ",C7/B7*100)</f>
        <v>55.19115030674846</v>
      </c>
      <c r="E7" s="86">
        <f>C7-B7</f>
        <v>-58430.740000000005</v>
      </c>
    </row>
    <row r="8" spans="1:5" s="78" customFormat="1" ht="12.75" customHeight="1" hidden="1">
      <c r="A8" s="49" t="s">
        <v>3</v>
      </c>
      <c r="B8" s="32">
        <v>387940</v>
      </c>
      <c r="C8" s="88">
        <v>217766</v>
      </c>
      <c r="D8" s="85" t="e">
        <f>IF(#REF!=0,"   ",C8/#REF!)</f>
        <v>#REF!</v>
      </c>
      <c r="E8" s="86" t="e">
        <f>C8-#REF!</f>
        <v>#REF!</v>
      </c>
    </row>
    <row r="9" spans="1:5" s="78" customFormat="1" ht="12.75">
      <c r="A9" s="49" t="s">
        <v>222</v>
      </c>
      <c r="B9" s="32">
        <v>130400</v>
      </c>
      <c r="C9" s="88">
        <v>71969.26</v>
      </c>
      <c r="D9" s="85">
        <f>IF(B9=0,"   ",C9/B9*100)</f>
        <v>55.19115030674846</v>
      </c>
      <c r="E9" s="86">
        <f>C9-B9</f>
        <v>-58430.740000000005</v>
      </c>
    </row>
    <row r="10" spans="1:5" s="78" customFormat="1" ht="12.75" customHeight="1" hidden="1">
      <c r="A10" s="49" t="s">
        <v>36</v>
      </c>
      <c r="B10" s="32"/>
      <c r="C10" s="88">
        <v>175</v>
      </c>
      <c r="D10" s="85"/>
      <c r="E10" s="86"/>
    </row>
    <row r="11" spans="1:5" s="87" customFormat="1" ht="12.75" customHeight="1" hidden="1">
      <c r="A11" s="49" t="s">
        <v>4</v>
      </c>
      <c r="B11" s="32">
        <f>SUM(B12:B13)</f>
        <v>1848003</v>
      </c>
      <c r="C11" s="32">
        <f>SUM(C12:C13)</f>
        <v>1704024</v>
      </c>
      <c r="D11" s="85" t="e">
        <f>IF(#REF!=0,"   ",C11/#REF!)</f>
        <v>#REF!</v>
      </c>
      <c r="E11" s="86" t="e">
        <f>C11-#REF!</f>
        <v>#REF!</v>
      </c>
    </row>
    <row r="12" spans="1:5" s="78" customFormat="1" ht="12.75" customHeight="1" hidden="1">
      <c r="A12" s="49" t="s">
        <v>5</v>
      </c>
      <c r="B12" s="32">
        <v>17853</v>
      </c>
      <c r="C12" s="88">
        <v>13730</v>
      </c>
      <c r="D12" s="85" t="e">
        <f>IF(#REF!=0,"   ",C12/#REF!)</f>
        <v>#REF!</v>
      </c>
      <c r="E12" s="86" t="e">
        <f>C12-#REF!</f>
        <v>#REF!</v>
      </c>
    </row>
    <row r="13" spans="1:5" s="78" customFormat="1" ht="12.75" customHeight="1" hidden="1">
      <c r="A13" s="49" t="s">
        <v>6</v>
      </c>
      <c r="B13" s="32">
        <v>1830150</v>
      </c>
      <c r="C13" s="88">
        <v>1690294</v>
      </c>
      <c r="D13" s="85" t="e">
        <f>IF(#REF!=0,"   ",C13/#REF!)</f>
        <v>#REF!</v>
      </c>
      <c r="E13" s="86" t="e">
        <f>C13-#REF!</f>
        <v>#REF!</v>
      </c>
    </row>
    <row r="14" spans="1:5" s="87" customFormat="1" ht="12.75">
      <c r="A14" s="49" t="s">
        <v>7</v>
      </c>
      <c r="B14" s="84">
        <f>SUM(B16)</f>
        <v>93000</v>
      </c>
      <c r="C14" s="32">
        <f>SUM(C16:C16)</f>
        <v>2963.21</v>
      </c>
      <c r="D14" s="85">
        <f>IF(B14=0,"   ",C14/B14*100)</f>
        <v>3.186247311827957</v>
      </c>
      <c r="E14" s="86">
        <f>C14-B14</f>
        <v>-90036.79</v>
      </c>
    </row>
    <row r="15" spans="1:5" s="78" customFormat="1" ht="12.75" customHeight="1" hidden="1">
      <c r="A15" s="49" t="s">
        <v>8</v>
      </c>
      <c r="B15" s="32">
        <v>103725</v>
      </c>
      <c r="C15" s="88">
        <v>92515</v>
      </c>
      <c r="D15" s="85" t="e">
        <f>IF(#REF!=0,"   ",C15/#REF!)</f>
        <v>#REF!</v>
      </c>
      <c r="E15" s="86" t="e">
        <f>C15-#REF!</f>
        <v>#REF!</v>
      </c>
    </row>
    <row r="16" spans="1:5" s="78" customFormat="1" ht="12.75">
      <c r="A16" s="49" t="s">
        <v>223</v>
      </c>
      <c r="B16" s="32">
        <v>93000</v>
      </c>
      <c r="C16" s="88">
        <v>2963.21</v>
      </c>
      <c r="D16" s="85">
        <f aca="true" t="shared" si="0" ref="D16:D27">IF(B16=0,"   ",C16/B16*100)</f>
        <v>3.186247311827957</v>
      </c>
      <c r="E16" s="86">
        <f aca="true" t="shared" si="1" ref="E16:E27">C16-B16</f>
        <v>-90036.79</v>
      </c>
    </row>
    <row r="17" spans="1:5" s="78" customFormat="1" ht="12.75">
      <c r="A17" s="49" t="s">
        <v>9</v>
      </c>
      <c r="B17" s="32">
        <f>SUM(B18:B19)</f>
        <v>641600</v>
      </c>
      <c r="C17" s="32">
        <f>SUM(C18:C19)</f>
        <v>127795.09</v>
      </c>
      <c r="D17" s="85">
        <f t="shared" si="0"/>
        <v>19.91818734413965</v>
      </c>
      <c r="E17" s="86">
        <f t="shared" si="1"/>
        <v>-513804.91000000003</v>
      </c>
    </row>
    <row r="18" spans="1:5" s="78" customFormat="1" ht="12.75">
      <c r="A18" s="49" t="s">
        <v>224</v>
      </c>
      <c r="B18" s="32">
        <v>255000</v>
      </c>
      <c r="C18" s="88">
        <v>16711.2</v>
      </c>
      <c r="D18" s="85">
        <f t="shared" si="0"/>
        <v>6.553411764705882</v>
      </c>
      <c r="E18" s="86">
        <f t="shared" si="1"/>
        <v>-238288.8</v>
      </c>
    </row>
    <row r="19" spans="1:5" s="78" customFormat="1" ht="12.75">
      <c r="A19" s="49" t="s">
        <v>225</v>
      </c>
      <c r="B19" s="32">
        <v>386600</v>
      </c>
      <c r="C19" s="88">
        <v>111083.89</v>
      </c>
      <c r="D19" s="85">
        <f t="shared" si="0"/>
        <v>28.733546301086392</v>
      </c>
      <c r="E19" s="86">
        <f t="shared" si="1"/>
        <v>-275516.11</v>
      </c>
    </row>
    <row r="20" spans="1:5" s="78" customFormat="1" ht="30" customHeight="1">
      <c r="A20" s="49" t="s">
        <v>151</v>
      </c>
      <c r="B20" s="32">
        <v>0</v>
      </c>
      <c r="C20" s="32">
        <v>1.94</v>
      </c>
      <c r="D20" s="85" t="str">
        <f t="shared" si="0"/>
        <v>   </v>
      </c>
      <c r="E20" s="86">
        <f t="shared" si="1"/>
        <v>1.94</v>
      </c>
    </row>
    <row r="21" spans="1:5" s="78" customFormat="1" ht="24.75" customHeight="1">
      <c r="A21" s="49" t="s">
        <v>41</v>
      </c>
      <c r="B21" s="32">
        <f>SUM(B22:B23)</f>
        <v>300000</v>
      </c>
      <c r="C21" s="84">
        <f>SUM(C22:C23)</f>
        <v>21222.44</v>
      </c>
      <c r="D21" s="85">
        <f t="shared" si="0"/>
        <v>7.074146666666667</v>
      </c>
      <c r="E21" s="86">
        <f t="shared" si="1"/>
        <v>-278777.56</v>
      </c>
    </row>
    <row r="22" spans="1:5" s="78" customFormat="1" ht="12.75">
      <c r="A22" s="49" t="s">
        <v>42</v>
      </c>
      <c r="B22" s="32">
        <v>300000</v>
      </c>
      <c r="C22" s="88">
        <v>19044.44</v>
      </c>
      <c r="D22" s="85">
        <f t="shared" si="0"/>
        <v>6.348146666666667</v>
      </c>
      <c r="E22" s="86">
        <f t="shared" si="1"/>
        <v>-280955.56</v>
      </c>
    </row>
    <row r="23" spans="1:5" s="78" customFormat="1" ht="24.75" customHeight="1">
      <c r="A23" s="49" t="s">
        <v>43</v>
      </c>
      <c r="B23" s="32">
        <v>0</v>
      </c>
      <c r="C23" s="88">
        <v>2178</v>
      </c>
      <c r="D23" s="85" t="str">
        <f t="shared" si="0"/>
        <v>   </v>
      </c>
      <c r="E23" s="86">
        <f t="shared" si="1"/>
        <v>2178</v>
      </c>
    </row>
    <row r="24" spans="1:5" s="78" customFormat="1" ht="18.75" customHeight="1">
      <c r="A24" s="49" t="s">
        <v>156</v>
      </c>
      <c r="B24" s="84">
        <v>0</v>
      </c>
      <c r="C24" s="88">
        <v>0</v>
      </c>
      <c r="D24" s="85"/>
      <c r="E24" s="86">
        <f t="shared" si="1"/>
        <v>0</v>
      </c>
    </row>
    <row r="25" spans="1:5" s="78" customFormat="1" ht="16.5" customHeight="1">
      <c r="A25" s="49" t="s">
        <v>112</v>
      </c>
      <c r="B25" s="84">
        <v>0</v>
      </c>
      <c r="C25" s="84">
        <f>C26</f>
        <v>-4351</v>
      </c>
      <c r="D25" s="85" t="str">
        <f t="shared" si="0"/>
        <v>   </v>
      </c>
      <c r="E25" s="86">
        <f t="shared" si="1"/>
        <v>-4351</v>
      </c>
    </row>
    <row r="26" spans="1:5" s="78" customFormat="1" ht="27.75" customHeight="1">
      <c r="A26" s="49" t="s">
        <v>113</v>
      </c>
      <c r="B26" s="32">
        <v>0</v>
      </c>
      <c r="C26" s="88">
        <v>-4351</v>
      </c>
      <c r="D26" s="85" t="str">
        <f t="shared" si="0"/>
        <v>   </v>
      </c>
      <c r="E26" s="86">
        <f t="shared" si="1"/>
        <v>-4351</v>
      </c>
    </row>
    <row r="27" spans="1:5" s="78" customFormat="1" ht="15" customHeight="1">
      <c r="A27" s="49" t="s">
        <v>45</v>
      </c>
      <c r="B27" s="32">
        <v>0</v>
      </c>
      <c r="C27" s="32">
        <f>SUM(C30:C31)</f>
        <v>0</v>
      </c>
      <c r="D27" s="85" t="str">
        <f t="shared" si="0"/>
        <v>   </v>
      </c>
      <c r="E27" s="86">
        <f t="shared" si="1"/>
        <v>0</v>
      </c>
    </row>
    <row r="28" spans="1:5" s="78" customFormat="1" ht="12.75" customHeight="1" hidden="1">
      <c r="A28" s="89" t="s">
        <v>46</v>
      </c>
      <c r="B28" s="32"/>
      <c r="C28" s="90"/>
      <c r="D28" s="85" t="e">
        <f>IF(#REF!=0,"   ",C28/#REF!)</f>
        <v>#REF!</v>
      </c>
      <c r="E28" s="86" t="e">
        <f>C28-#REF!</f>
        <v>#REF!</v>
      </c>
    </row>
    <row r="29" spans="1:5" s="9" customFormat="1" ht="12.75" customHeight="1" hidden="1">
      <c r="A29" s="89" t="s">
        <v>20</v>
      </c>
      <c r="B29" s="50">
        <f>SUM(B35,B48,B49,B46)</f>
        <v>1769925</v>
      </c>
      <c r="C29" s="52">
        <f>SUM(C35,C48,C49,C50)</f>
        <v>939606</v>
      </c>
      <c r="D29" s="85" t="e">
        <f>IF(#REF!=0,"   ",C29/#REF!)</f>
        <v>#REF!</v>
      </c>
      <c r="E29" s="86" t="e">
        <f>C29-#REF!</f>
        <v>#REF!</v>
      </c>
    </row>
    <row r="30" spans="1:5" s="9" customFormat="1" ht="25.5">
      <c r="A30" s="49" t="s">
        <v>126</v>
      </c>
      <c r="B30" s="50">
        <v>0</v>
      </c>
      <c r="C30" s="52">
        <v>0</v>
      </c>
      <c r="D30" s="85" t="str">
        <f>IF(B30=0,"   ",C30/B30*100)</f>
        <v>   </v>
      </c>
      <c r="E30" s="86">
        <f>C30-B30</f>
        <v>0</v>
      </c>
    </row>
    <row r="31" spans="1:5" s="9" customFormat="1" ht="15" customHeight="1">
      <c r="A31" s="49" t="s">
        <v>215</v>
      </c>
      <c r="B31" s="32">
        <v>0</v>
      </c>
      <c r="C31" s="84">
        <v>0</v>
      </c>
      <c r="D31" s="85" t="str">
        <f>IF(B31=0,"   ",C31/B31*100)</f>
        <v>   </v>
      </c>
      <c r="E31" s="86">
        <f>C31-B31</f>
        <v>0</v>
      </c>
    </row>
    <row r="32" spans="1:5" s="9" customFormat="1" ht="12.75" customHeight="1" hidden="1">
      <c r="A32" s="49" t="s">
        <v>60</v>
      </c>
      <c r="B32" s="50"/>
      <c r="C32" s="84">
        <v>0</v>
      </c>
      <c r="D32" s="85" t="e">
        <f>IF(#REF!=0,"   ",C32/#REF!)</f>
        <v>#REF!</v>
      </c>
      <c r="E32" s="86" t="e">
        <f>C32-#REF!</f>
        <v>#REF!</v>
      </c>
    </row>
    <row r="33" spans="1:5" s="9" customFormat="1" ht="0.75" customHeight="1" hidden="1">
      <c r="A33" s="83" t="s">
        <v>61</v>
      </c>
      <c r="B33" s="32">
        <v>1250</v>
      </c>
      <c r="C33" s="52"/>
      <c r="D33" s="85" t="e">
        <f>IF(#REF!=0,"   ",C33/#REF!)</f>
        <v>#REF!</v>
      </c>
      <c r="E33" s="86" t="e">
        <f>C33-#REF!</f>
        <v>#REF!</v>
      </c>
    </row>
    <row r="34" spans="1:5" s="9" customFormat="1" ht="12.75">
      <c r="A34" s="123" t="s">
        <v>11</v>
      </c>
      <c r="B34" s="125">
        <f>B7+B14+B17+B20+B21+B24+B25+B27</f>
        <v>1165000</v>
      </c>
      <c r="C34" s="125">
        <f>SUM(C7,C14,C17,C20,C21,C24,C25,C27,)</f>
        <v>219600.94</v>
      </c>
      <c r="D34" s="85">
        <f aca="true" t="shared" si="2" ref="D34:D45">IF(B34=0,"   ",C34/B34*100)</f>
        <v>18.8498660944206</v>
      </c>
      <c r="E34" s="86">
        <f aca="true" t="shared" si="3" ref="E34:E45">C34-B34</f>
        <v>-945399.06</v>
      </c>
    </row>
    <row r="35" spans="1:5" s="78" customFormat="1" ht="12.75">
      <c r="A35" s="83" t="s">
        <v>47</v>
      </c>
      <c r="B35" s="84">
        <v>1441000</v>
      </c>
      <c r="C35" s="84">
        <v>569500</v>
      </c>
      <c r="D35" s="85">
        <f t="shared" si="2"/>
        <v>39.52116585704372</v>
      </c>
      <c r="E35" s="86">
        <f t="shared" si="3"/>
        <v>-871500</v>
      </c>
    </row>
    <row r="36" spans="1:5" s="78" customFormat="1" ht="26.25" customHeight="1">
      <c r="A36" s="49" t="s">
        <v>67</v>
      </c>
      <c r="B36" s="32">
        <v>0</v>
      </c>
      <c r="C36" s="88">
        <v>0</v>
      </c>
      <c r="D36" s="85" t="str">
        <f t="shared" si="2"/>
        <v>   </v>
      </c>
      <c r="E36" s="86">
        <f t="shared" si="3"/>
        <v>0</v>
      </c>
    </row>
    <row r="37" spans="1:5" s="78" customFormat="1" ht="38.25" customHeight="1">
      <c r="A37" s="49" t="s">
        <v>72</v>
      </c>
      <c r="B37" s="32">
        <v>45900</v>
      </c>
      <c r="C37" s="32">
        <v>45900</v>
      </c>
      <c r="D37" s="85">
        <f t="shared" si="2"/>
        <v>100</v>
      </c>
      <c r="E37" s="86">
        <f t="shared" si="3"/>
        <v>0</v>
      </c>
    </row>
    <row r="38" spans="1:5" s="78" customFormat="1" ht="24.75" customHeight="1">
      <c r="A38" s="49" t="s">
        <v>167</v>
      </c>
      <c r="B38" s="32">
        <v>100</v>
      </c>
      <c r="C38" s="88">
        <v>100</v>
      </c>
      <c r="D38" s="85">
        <f t="shared" si="2"/>
        <v>100</v>
      </c>
      <c r="E38" s="86">
        <f t="shared" si="3"/>
        <v>0</v>
      </c>
    </row>
    <row r="39" spans="1:5" s="78" customFormat="1" ht="12.75" customHeight="1">
      <c r="A39" s="49" t="s">
        <v>80</v>
      </c>
      <c r="B39" s="32">
        <v>228000</v>
      </c>
      <c r="C39" s="88">
        <v>0</v>
      </c>
      <c r="D39" s="85">
        <f t="shared" si="2"/>
        <v>0</v>
      </c>
      <c r="E39" s="86">
        <f t="shared" si="3"/>
        <v>-228000</v>
      </c>
    </row>
    <row r="40" spans="1:5" s="78" customFormat="1" ht="25.5" customHeight="1">
      <c r="A40" s="49" t="s">
        <v>273</v>
      </c>
      <c r="B40" s="32">
        <v>988000</v>
      </c>
      <c r="C40" s="88">
        <v>0</v>
      </c>
      <c r="D40" s="85">
        <f t="shared" si="2"/>
        <v>0</v>
      </c>
      <c r="E40" s="86">
        <f t="shared" si="3"/>
        <v>-988000</v>
      </c>
    </row>
    <row r="41" spans="1:5" s="78" customFormat="1" ht="25.5" customHeight="1">
      <c r="A41" s="49" t="s">
        <v>177</v>
      </c>
      <c r="B41" s="32">
        <v>3800</v>
      </c>
      <c r="C41" s="32">
        <v>0</v>
      </c>
      <c r="D41" s="85">
        <f t="shared" si="2"/>
        <v>0</v>
      </c>
      <c r="E41" s="86">
        <f t="shared" si="3"/>
        <v>-3800</v>
      </c>
    </row>
    <row r="42" spans="1:5" s="78" customFormat="1" ht="18" customHeight="1">
      <c r="A42" s="49" t="s">
        <v>78</v>
      </c>
      <c r="B42" s="32">
        <f>SUM(B43:B44)</f>
        <v>228000</v>
      </c>
      <c r="C42" s="32">
        <f>SUM(C43:C44)</f>
        <v>49500</v>
      </c>
      <c r="D42" s="85">
        <f t="shared" si="2"/>
        <v>21.710526315789476</v>
      </c>
      <c r="E42" s="86">
        <f t="shared" si="3"/>
        <v>-178500</v>
      </c>
    </row>
    <row r="43" spans="1:5" s="78" customFormat="1" ht="24.75" customHeight="1">
      <c r="A43" s="49" t="s">
        <v>208</v>
      </c>
      <c r="B43" s="32">
        <v>0</v>
      </c>
      <c r="C43" s="32">
        <v>0</v>
      </c>
      <c r="D43" s="85" t="str">
        <f t="shared" si="2"/>
        <v>   </v>
      </c>
      <c r="E43" s="86">
        <f t="shared" si="3"/>
        <v>0</v>
      </c>
    </row>
    <row r="44" spans="1:5" s="78" customFormat="1" ht="14.25" customHeight="1">
      <c r="A44" s="49" t="s">
        <v>209</v>
      </c>
      <c r="B44" s="32">
        <v>228000</v>
      </c>
      <c r="C44" s="32">
        <v>49500</v>
      </c>
      <c r="D44" s="85">
        <f t="shared" si="2"/>
        <v>21.710526315789476</v>
      </c>
      <c r="E44" s="86">
        <f t="shared" si="3"/>
        <v>-178500</v>
      </c>
    </row>
    <row r="45" spans="1:5" s="78" customFormat="1" ht="15.75" customHeight="1">
      <c r="A45" s="49" t="s">
        <v>48</v>
      </c>
      <c r="B45" s="32">
        <v>0</v>
      </c>
      <c r="C45" s="88">
        <v>0</v>
      </c>
      <c r="D45" s="85" t="str">
        <f t="shared" si="2"/>
        <v>   </v>
      </c>
      <c r="E45" s="86">
        <f t="shared" si="3"/>
        <v>0</v>
      </c>
    </row>
    <row r="46" spans="1:5" s="78" customFormat="1" ht="12.75" customHeight="1" hidden="1">
      <c r="A46" s="49" t="s">
        <v>30</v>
      </c>
      <c r="B46" s="32">
        <v>55000</v>
      </c>
      <c r="C46" s="88">
        <v>26448</v>
      </c>
      <c r="D46" s="85"/>
      <c r="E46" s="86"/>
    </row>
    <row r="47" spans="1:5" s="78" customFormat="1" ht="12.75" customHeight="1" hidden="1">
      <c r="A47" s="49" t="s">
        <v>32</v>
      </c>
      <c r="B47" s="32"/>
      <c r="C47" s="88">
        <v>5250</v>
      </c>
      <c r="D47" s="85"/>
      <c r="E47" s="86"/>
    </row>
    <row r="48" spans="1:5" s="78" customFormat="1" ht="12.75" customHeight="1" hidden="1">
      <c r="A48" s="49" t="s">
        <v>22</v>
      </c>
      <c r="B48" s="32">
        <v>29625</v>
      </c>
      <c r="C48" s="32">
        <v>0</v>
      </c>
      <c r="D48" s="85" t="e">
        <f>IF(#REF!=0,"   ",C48/#REF!)</f>
        <v>#REF!</v>
      </c>
      <c r="E48" s="86" t="e">
        <f>C48-#REF!</f>
        <v>#REF!</v>
      </c>
    </row>
    <row r="49" spans="1:5" s="78" customFormat="1" ht="12.75" customHeight="1" hidden="1">
      <c r="A49" s="49" t="s">
        <v>23</v>
      </c>
      <c r="B49" s="32">
        <v>244300</v>
      </c>
      <c r="C49" s="32">
        <v>367600</v>
      </c>
      <c r="D49" s="85" t="e">
        <f>IF(#REF!=0,"   ",C49/#REF!)</f>
        <v>#REF!</v>
      </c>
      <c r="E49" s="86" t="e">
        <f>C49-#REF!</f>
        <v>#REF!</v>
      </c>
    </row>
    <row r="50" spans="1:5" s="78" customFormat="1" ht="12.75" customHeight="1" hidden="1">
      <c r="A50" s="49" t="s">
        <v>31</v>
      </c>
      <c r="B50" s="32"/>
      <c r="C50" s="88">
        <v>2506</v>
      </c>
      <c r="D50" s="85" t="e">
        <f>IF(#REF!=0,"   ",C50/#REF!)</f>
        <v>#REF!</v>
      </c>
      <c r="E50" s="86" t="e">
        <f>C50-#REF!</f>
        <v>#REF!</v>
      </c>
    </row>
    <row r="51" spans="1:5" s="9" customFormat="1" ht="12.75" customHeight="1" hidden="1">
      <c r="A51" s="79" t="s">
        <v>11</v>
      </c>
      <c r="B51" s="52">
        <f>SUM(B6,B29)</f>
        <v>1769925</v>
      </c>
      <c r="C51" s="84" t="e">
        <f>SUM(C6,C29)</f>
        <v>#REF!</v>
      </c>
      <c r="D51" s="81" t="e">
        <f>IF(#REF!=0,"   ",C51/#REF!)</f>
        <v>#REF!</v>
      </c>
      <c r="E51" s="91" t="e">
        <f>C51-#REF!</f>
        <v>#REF!</v>
      </c>
    </row>
    <row r="52" spans="1:5" s="78" customFormat="1" ht="12.75" customHeight="1" hidden="1">
      <c r="A52" s="49" t="s">
        <v>27</v>
      </c>
      <c r="B52" s="32">
        <v>32964487</v>
      </c>
      <c r="C52" s="88">
        <v>30880729</v>
      </c>
      <c r="D52" s="85" t="e">
        <f>IF(#REF!=0,"   ",C52/#REF!)</f>
        <v>#REF!</v>
      </c>
      <c r="E52" s="86" t="e">
        <f>C52-#REF!</f>
        <v>#REF!</v>
      </c>
    </row>
    <row r="53" spans="1:5" s="78" customFormat="1" ht="12.75" customHeight="1" hidden="1">
      <c r="A53" s="49" t="s">
        <v>28</v>
      </c>
      <c r="B53" s="32">
        <v>42809000</v>
      </c>
      <c r="C53" s="88">
        <v>42809000</v>
      </c>
      <c r="D53" s="85" t="e">
        <f>IF(#REF!=0,"   ",C53/#REF!)</f>
        <v>#REF!</v>
      </c>
      <c r="E53" s="86" t="e">
        <f>C53-#REF!</f>
        <v>#REF!</v>
      </c>
    </row>
    <row r="54" spans="1:5" s="78" customFormat="1" ht="12.75" customHeight="1" hidden="1">
      <c r="A54" s="49" t="s">
        <v>37</v>
      </c>
      <c r="B54" s="32">
        <v>1300000</v>
      </c>
      <c r="C54" s="90">
        <v>1300000</v>
      </c>
      <c r="D54" s="85" t="e">
        <f>IF(#REF!=0,"   ",C54/#REF!)</f>
        <v>#REF!</v>
      </c>
      <c r="E54" s="86" t="e">
        <f>C54-#REF!</f>
        <v>#REF!</v>
      </c>
    </row>
    <row r="55" spans="1:5" s="78" customFormat="1" ht="12.75" customHeight="1" hidden="1">
      <c r="A55" s="49" t="s">
        <v>11</v>
      </c>
      <c r="B55" s="32"/>
      <c r="C55" s="90"/>
      <c r="D55" s="85" t="e">
        <f>IF(#REF!=0,"   ",C55/#REF!)</f>
        <v>#REF!</v>
      </c>
      <c r="E55" s="86" t="e">
        <f>C55-#REF!</f>
        <v>#REF!</v>
      </c>
    </row>
    <row r="56" spans="1:5" s="78" customFormat="1" ht="12.75" customHeight="1" hidden="1">
      <c r="A56" s="79" t="s">
        <v>12</v>
      </c>
      <c r="B56" s="32">
        <v>0</v>
      </c>
      <c r="C56" s="32">
        <v>0</v>
      </c>
      <c r="D56" s="85" t="e">
        <f>IF(#REF!=0,"   ",C56/#REF!)</f>
        <v>#REF!</v>
      </c>
      <c r="E56" s="86" t="e">
        <f>C56-#REF!</f>
        <v>#REF!</v>
      </c>
    </row>
    <row r="57" spans="1:5" s="78" customFormat="1" ht="12.75" customHeight="1" hidden="1">
      <c r="A57" s="49" t="s">
        <v>13</v>
      </c>
      <c r="B57" s="32">
        <v>0</v>
      </c>
      <c r="C57" s="88">
        <v>0</v>
      </c>
      <c r="D57" s="85" t="e">
        <f>IF(#REF!=0,"   ",C57/#REF!)</f>
        <v>#REF!</v>
      </c>
      <c r="E57" s="86" t="e">
        <f>C57-#REF!</f>
        <v>#REF!</v>
      </c>
    </row>
    <row r="58" spans="1:5" s="78" customFormat="1" ht="36" customHeight="1" hidden="1">
      <c r="A58" s="49" t="s">
        <v>24</v>
      </c>
      <c r="B58" s="32">
        <v>3477561</v>
      </c>
      <c r="C58" s="88">
        <v>2736977</v>
      </c>
      <c r="D58" s="85" t="e">
        <f>IF(#REF!=0,"   ",C58/#REF!)</f>
        <v>#REF!</v>
      </c>
      <c r="E58" s="86" t="e">
        <f>C58-#REF!</f>
        <v>#REF!</v>
      </c>
    </row>
    <row r="59" spans="1:5" s="78" customFormat="1" ht="12.75" customHeight="1" hidden="1">
      <c r="A59" s="49" t="s">
        <v>29</v>
      </c>
      <c r="B59" s="32"/>
      <c r="C59" s="88">
        <v>268613</v>
      </c>
      <c r="D59" s="85" t="e">
        <f>IF(#REF!=0,"   ",C59/#REF!)</f>
        <v>#REF!</v>
      </c>
      <c r="E59" s="86" t="e">
        <f>C59-#REF!</f>
        <v>#REF!</v>
      </c>
    </row>
    <row r="60" spans="1:5" s="78" customFormat="1" ht="21.75" customHeight="1">
      <c r="A60" s="31" t="s">
        <v>14</v>
      </c>
      <c r="B60" s="84">
        <f>SUM(B34,B35,B36:B42,B45)</f>
        <v>4099800</v>
      </c>
      <c r="C60" s="84">
        <f>SUM(C34,C35,C36:C42,C45)</f>
        <v>884600.94</v>
      </c>
      <c r="D60" s="85">
        <f aca="true" t="shared" si="4" ref="D60:D75">IF(B60=0,"   ",C60/B60*100)</f>
        <v>21.5766852041563</v>
      </c>
      <c r="E60" s="86">
        <f aca="true" t="shared" si="5" ref="E60:E75">C60-B60</f>
        <v>-3215199.06</v>
      </c>
    </row>
    <row r="61" spans="1:5" s="8" customFormat="1" ht="12.75">
      <c r="A61" s="23" t="s">
        <v>15</v>
      </c>
      <c r="B61" s="53"/>
      <c r="C61" s="54"/>
      <c r="D61" s="85" t="str">
        <f t="shared" si="4"/>
        <v>   </v>
      </c>
      <c r="E61" s="86">
        <f t="shared" si="5"/>
        <v>0</v>
      </c>
    </row>
    <row r="62" spans="1:5" s="78" customFormat="1" ht="12.75">
      <c r="A62" s="49" t="s">
        <v>49</v>
      </c>
      <c r="B62" s="32">
        <v>758300</v>
      </c>
      <c r="C62" s="32">
        <v>226222.92</v>
      </c>
      <c r="D62" s="85">
        <f t="shared" si="4"/>
        <v>29.83290518264539</v>
      </c>
      <c r="E62" s="86">
        <f t="shared" si="5"/>
        <v>-532077.08</v>
      </c>
    </row>
    <row r="63" spans="1:5" s="78" customFormat="1" ht="12.75">
      <c r="A63" s="49" t="s">
        <v>50</v>
      </c>
      <c r="B63" s="32">
        <v>757800</v>
      </c>
      <c r="C63" s="88">
        <v>226222.92</v>
      </c>
      <c r="D63" s="85">
        <f t="shared" si="4"/>
        <v>29.852589073634206</v>
      </c>
      <c r="E63" s="86">
        <f t="shared" si="5"/>
        <v>-531577.08</v>
      </c>
    </row>
    <row r="64" spans="1:5" s="78" customFormat="1" ht="12.75">
      <c r="A64" s="49" t="s">
        <v>263</v>
      </c>
      <c r="B64" s="32">
        <v>476900</v>
      </c>
      <c r="C64" s="90">
        <v>136308.9</v>
      </c>
      <c r="D64" s="85">
        <f t="shared" si="4"/>
        <v>28.58228140071294</v>
      </c>
      <c r="E64" s="86">
        <f t="shared" si="5"/>
        <v>-340591.1</v>
      </c>
    </row>
    <row r="65" spans="1:5" s="92" customFormat="1" ht="12.75">
      <c r="A65" s="49" t="s">
        <v>217</v>
      </c>
      <c r="B65" s="32">
        <v>100</v>
      </c>
      <c r="C65" s="90">
        <v>0</v>
      </c>
      <c r="D65" s="85">
        <f t="shared" si="4"/>
        <v>0</v>
      </c>
      <c r="E65" s="86">
        <f t="shared" si="5"/>
        <v>-100</v>
      </c>
    </row>
    <row r="66" spans="1:5" s="78" customFormat="1" ht="12.75">
      <c r="A66" s="49" t="s">
        <v>169</v>
      </c>
      <c r="B66" s="32">
        <v>500</v>
      </c>
      <c r="C66" s="90">
        <v>0</v>
      </c>
      <c r="D66" s="85">
        <f t="shared" si="4"/>
        <v>0</v>
      </c>
      <c r="E66" s="86">
        <f t="shared" si="5"/>
        <v>-500</v>
      </c>
    </row>
    <row r="67" spans="1:5" s="78" customFormat="1" ht="12.75">
      <c r="A67" s="49" t="s">
        <v>74</v>
      </c>
      <c r="B67" s="32">
        <f>SUM(B68)</f>
        <v>0</v>
      </c>
      <c r="C67" s="32">
        <v>0</v>
      </c>
      <c r="D67" s="85" t="str">
        <f t="shared" si="4"/>
        <v>   </v>
      </c>
      <c r="E67" s="86">
        <f t="shared" si="5"/>
        <v>0</v>
      </c>
    </row>
    <row r="68" spans="1:5" s="78" customFormat="1" ht="25.5" customHeight="1">
      <c r="A68" s="17" t="s">
        <v>93</v>
      </c>
      <c r="B68" s="32">
        <v>0</v>
      </c>
      <c r="C68" s="88">
        <v>0</v>
      </c>
      <c r="D68" s="85" t="str">
        <f t="shared" si="4"/>
        <v>   </v>
      </c>
      <c r="E68" s="86">
        <f t="shared" si="5"/>
        <v>0</v>
      </c>
    </row>
    <row r="69" spans="1:5" s="78" customFormat="1" ht="12.75">
      <c r="A69" s="49" t="s">
        <v>70</v>
      </c>
      <c r="B69" s="32">
        <f>SUM(B70)</f>
        <v>45900</v>
      </c>
      <c r="C69" s="32">
        <f>SUM(C70)</f>
        <v>16769.97</v>
      </c>
      <c r="D69" s="85">
        <f t="shared" si="4"/>
        <v>36.53588235294118</v>
      </c>
      <c r="E69" s="86">
        <f t="shared" si="5"/>
        <v>-29130.03</v>
      </c>
    </row>
    <row r="70" spans="1:5" s="78" customFormat="1" ht="25.5">
      <c r="A70" s="49" t="s">
        <v>212</v>
      </c>
      <c r="B70" s="32">
        <v>45900</v>
      </c>
      <c r="C70" s="88">
        <v>16769.97</v>
      </c>
      <c r="D70" s="85">
        <f t="shared" si="4"/>
        <v>36.53588235294118</v>
      </c>
      <c r="E70" s="86">
        <f t="shared" si="5"/>
        <v>-29130.03</v>
      </c>
    </row>
    <row r="71" spans="1:5" s="78" customFormat="1" ht="12.75">
      <c r="A71" s="49" t="s">
        <v>51</v>
      </c>
      <c r="B71" s="32">
        <f>SUM(B72)</f>
        <v>600</v>
      </c>
      <c r="C71" s="32">
        <f>SUM(C72)</f>
        <v>0</v>
      </c>
      <c r="D71" s="85">
        <f t="shared" si="4"/>
        <v>0</v>
      </c>
      <c r="E71" s="86">
        <f t="shared" si="5"/>
        <v>-600</v>
      </c>
    </row>
    <row r="72" spans="1:5" s="78" customFormat="1" ht="12.75">
      <c r="A72" s="49" t="s">
        <v>304</v>
      </c>
      <c r="B72" s="32">
        <v>600</v>
      </c>
      <c r="C72" s="88">
        <v>0</v>
      </c>
      <c r="D72" s="85">
        <f t="shared" si="4"/>
        <v>0</v>
      </c>
      <c r="E72" s="86">
        <f t="shared" si="5"/>
        <v>-600</v>
      </c>
    </row>
    <row r="73" spans="1:5" s="78" customFormat="1" ht="12.75">
      <c r="A73" s="49" t="s">
        <v>52</v>
      </c>
      <c r="B73" s="32">
        <f>SUM(B74)</f>
        <v>0</v>
      </c>
      <c r="C73" s="32">
        <v>0</v>
      </c>
      <c r="D73" s="85" t="str">
        <f t="shared" si="4"/>
        <v>   </v>
      </c>
      <c r="E73" s="86">
        <f t="shared" si="5"/>
        <v>0</v>
      </c>
    </row>
    <row r="74" spans="1:5" s="78" customFormat="1" ht="12.75">
      <c r="A74" s="49" t="s">
        <v>196</v>
      </c>
      <c r="B74" s="32">
        <v>0</v>
      </c>
      <c r="C74" s="32">
        <v>0</v>
      </c>
      <c r="D74" s="85" t="str">
        <f t="shared" si="4"/>
        <v>   </v>
      </c>
      <c r="E74" s="86">
        <f t="shared" si="5"/>
        <v>0</v>
      </c>
    </row>
    <row r="75" spans="1:5" s="78" customFormat="1" ht="12.75">
      <c r="A75" s="49" t="s">
        <v>210</v>
      </c>
      <c r="B75" s="32">
        <v>0</v>
      </c>
      <c r="C75" s="32">
        <v>0</v>
      </c>
      <c r="D75" s="85" t="str">
        <f t="shared" si="4"/>
        <v>   </v>
      </c>
      <c r="E75" s="86">
        <f t="shared" si="5"/>
        <v>0</v>
      </c>
    </row>
    <row r="76" spans="1:5" s="78" customFormat="1" ht="12.75">
      <c r="A76" s="49" t="s">
        <v>16</v>
      </c>
      <c r="B76" s="32">
        <f>SUM(B79,B83,)</f>
        <v>624600</v>
      </c>
      <c r="C76" s="32">
        <f>SUM(C79,C83,)</f>
        <v>176876.24</v>
      </c>
      <c r="D76" s="85">
        <f>IF(B76=0,"   ",C76/B76*100)</f>
        <v>28.318322126160737</v>
      </c>
      <c r="E76" s="86">
        <f>C76-B76</f>
        <v>-447723.76</v>
      </c>
    </row>
    <row r="77" spans="1:5" s="78" customFormat="1" ht="12.75" customHeight="1" hidden="1">
      <c r="A77" s="49" t="s">
        <v>54</v>
      </c>
      <c r="B77" s="32" t="e">
        <f>SUM(#REF!,B83,#REF!)</f>
        <v>#REF!</v>
      </c>
      <c r="C77" s="32" t="e">
        <f>SUM(#REF!,C83,#REF!)</f>
        <v>#REF!</v>
      </c>
      <c r="D77" s="85" t="e">
        <f>IF(#REF!=0,"   ",C77/#REF!)</f>
        <v>#REF!</v>
      </c>
      <c r="E77" s="86" t="e">
        <f>C77-#REF!</f>
        <v>#REF!</v>
      </c>
    </row>
    <row r="78" spans="1:5" s="78" customFormat="1" ht="12.75" customHeight="1" hidden="1">
      <c r="A78" s="49" t="s">
        <v>26</v>
      </c>
      <c r="B78" s="32">
        <v>851563</v>
      </c>
      <c r="C78" s="88">
        <v>851563</v>
      </c>
      <c r="D78" s="85" t="e">
        <f>IF(#REF!=0,"   ",C78/#REF!)</f>
        <v>#REF!</v>
      </c>
      <c r="E78" s="86" t="e">
        <f>C78-#REF!</f>
        <v>#REF!</v>
      </c>
    </row>
    <row r="79" spans="1:5" s="78" customFormat="1" ht="12.75">
      <c r="A79" s="49" t="s">
        <v>155</v>
      </c>
      <c r="B79" s="32">
        <v>0</v>
      </c>
      <c r="C79" s="32">
        <f>SUM(C80:C81)</f>
        <v>0</v>
      </c>
      <c r="D79" s="85" t="str">
        <f aca="true" t="shared" si="6" ref="D79:D116">IF(B79=0,"   ",C79/B79*100)</f>
        <v>   </v>
      </c>
      <c r="E79" s="86">
        <f aca="true" t="shared" si="7" ref="E79:E116">C79-B79</f>
        <v>0</v>
      </c>
    </row>
    <row r="80" spans="1:5" s="78" customFormat="1" ht="12.75">
      <c r="A80" s="49" t="s">
        <v>193</v>
      </c>
      <c r="B80" s="32">
        <v>0</v>
      </c>
      <c r="C80" s="88">
        <v>0</v>
      </c>
      <c r="D80" s="85" t="str">
        <f t="shared" si="6"/>
        <v>   </v>
      </c>
      <c r="E80" s="86">
        <f t="shared" si="7"/>
        <v>0</v>
      </c>
    </row>
    <row r="81" spans="1:5" s="78" customFormat="1" ht="12.75">
      <c r="A81" s="49" t="s">
        <v>194</v>
      </c>
      <c r="B81" s="32">
        <v>0</v>
      </c>
      <c r="C81" s="88">
        <v>0</v>
      </c>
      <c r="D81" s="85" t="str">
        <f t="shared" si="6"/>
        <v>   </v>
      </c>
      <c r="E81" s="86">
        <f t="shared" si="7"/>
        <v>0</v>
      </c>
    </row>
    <row r="82" spans="1:5" s="78" customFormat="1" ht="12.75">
      <c r="A82" s="49" t="s">
        <v>211</v>
      </c>
      <c r="B82" s="32">
        <v>0</v>
      </c>
      <c r="C82" s="88">
        <v>0</v>
      </c>
      <c r="D82" s="85" t="str">
        <f t="shared" si="6"/>
        <v>   </v>
      </c>
      <c r="E82" s="86">
        <f t="shared" si="7"/>
        <v>0</v>
      </c>
    </row>
    <row r="83" spans="1:5" s="78" customFormat="1" ht="12.75">
      <c r="A83" s="49" t="s">
        <v>87</v>
      </c>
      <c r="B83" s="32">
        <v>624600</v>
      </c>
      <c r="C83" s="32">
        <v>176876.24</v>
      </c>
      <c r="D83" s="85">
        <f t="shared" si="6"/>
        <v>28.318322126160737</v>
      </c>
      <c r="E83" s="86">
        <f t="shared" si="7"/>
        <v>-447723.76</v>
      </c>
    </row>
    <row r="84" spans="1:5" s="78" customFormat="1" ht="15" customHeight="1">
      <c r="A84" s="49" t="s">
        <v>85</v>
      </c>
      <c r="B84" s="32">
        <v>180000</v>
      </c>
      <c r="C84" s="88">
        <v>77876.24</v>
      </c>
      <c r="D84" s="85">
        <f t="shared" si="6"/>
        <v>43.26457777777778</v>
      </c>
      <c r="E84" s="86">
        <f t="shared" si="7"/>
        <v>-102123.76</v>
      </c>
    </row>
    <row r="85" spans="1:5" s="78" customFormat="1" ht="12.75" customHeight="1">
      <c r="A85" s="49" t="s">
        <v>129</v>
      </c>
      <c r="B85" s="32">
        <v>228000</v>
      </c>
      <c r="C85" s="88">
        <v>49500</v>
      </c>
      <c r="D85" s="85">
        <f t="shared" si="6"/>
        <v>21.710526315789476</v>
      </c>
      <c r="E85" s="86">
        <f t="shared" si="7"/>
        <v>-178500</v>
      </c>
    </row>
    <row r="86" spans="1:5" s="78" customFormat="1" ht="15" customHeight="1">
      <c r="A86" s="49" t="s">
        <v>130</v>
      </c>
      <c r="B86" s="32">
        <v>140000</v>
      </c>
      <c r="C86" s="88">
        <v>49500</v>
      </c>
      <c r="D86" s="85">
        <f t="shared" si="6"/>
        <v>35.35714285714286</v>
      </c>
      <c r="E86" s="86">
        <f t="shared" si="7"/>
        <v>-90500</v>
      </c>
    </row>
    <row r="87" spans="1:5" s="78" customFormat="1" ht="12.75" customHeight="1">
      <c r="A87" s="49" t="s">
        <v>86</v>
      </c>
      <c r="B87" s="32">
        <v>76600</v>
      </c>
      <c r="C87" s="90">
        <v>0</v>
      </c>
      <c r="D87" s="85">
        <f t="shared" si="6"/>
        <v>0</v>
      </c>
      <c r="E87" s="86">
        <f t="shared" si="7"/>
        <v>-76600</v>
      </c>
    </row>
    <row r="88" spans="1:5" s="78" customFormat="1" ht="15" customHeight="1">
      <c r="A88" s="49" t="s">
        <v>25</v>
      </c>
      <c r="B88" s="32">
        <v>10000</v>
      </c>
      <c r="C88" s="32">
        <v>1600</v>
      </c>
      <c r="D88" s="85">
        <f t="shared" si="6"/>
        <v>16</v>
      </c>
      <c r="E88" s="86">
        <f t="shared" si="7"/>
        <v>-8400</v>
      </c>
    </row>
    <row r="89" spans="1:5" s="78" customFormat="1" ht="12.75">
      <c r="A89" s="49" t="s">
        <v>55</v>
      </c>
      <c r="B89" s="84">
        <f>SUM(B90)</f>
        <v>1369900</v>
      </c>
      <c r="C89" s="32">
        <f>SUM(C90)</f>
        <v>390402.66</v>
      </c>
      <c r="D89" s="85">
        <f t="shared" si="6"/>
        <v>28.498624717132635</v>
      </c>
      <c r="E89" s="86">
        <f t="shared" si="7"/>
        <v>-979497.3400000001</v>
      </c>
    </row>
    <row r="90" spans="1:5" s="78" customFormat="1" ht="12.75">
      <c r="A90" s="49" t="s">
        <v>56</v>
      </c>
      <c r="B90" s="32">
        <v>1369900</v>
      </c>
      <c r="C90" s="88">
        <v>390402.66</v>
      </c>
      <c r="D90" s="85">
        <f t="shared" si="6"/>
        <v>28.498624717132635</v>
      </c>
      <c r="E90" s="86">
        <f t="shared" si="7"/>
        <v>-979497.3400000001</v>
      </c>
    </row>
    <row r="91" spans="1:5" s="78" customFormat="1" ht="12.75">
      <c r="A91" s="49" t="s">
        <v>263</v>
      </c>
      <c r="B91" s="32">
        <v>707600</v>
      </c>
      <c r="C91" s="88">
        <v>235187.32</v>
      </c>
      <c r="D91" s="85">
        <f t="shared" si="6"/>
        <v>33.23732617297909</v>
      </c>
      <c r="E91" s="86">
        <f t="shared" si="7"/>
        <v>-472412.68</v>
      </c>
    </row>
    <row r="92" spans="1:5" s="78" customFormat="1" ht="12.75">
      <c r="A92" s="49" t="s">
        <v>213</v>
      </c>
      <c r="B92" s="32">
        <v>3800</v>
      </c>
      <c r="C92" s="88">
        <v>0</v>
      </c>
      <c r="D92" s="85">
        <f t="shared" si="6"/>
        <v>0</v>
      </c>
      <c r="E92" s="86">
        <f t="shared" si="7"/>
        <v>-3800</v>
      </c>
    </row>
    <row r="93" spans="1:5" s="78" customFormat="1" ht="12.75">
      <c r="A93" s="49" t="s">
        <v>271</v>
      </c>
      <c r="B93" s="84">
        <f>SUM(B94)</f>
        <v>20000</v>
      </c>
      <c r="C93" s="84">
        <f>SUM(C94)</f>
        <v>6500</v>
      </c>
      <c r="D93" s="85">
        <f t="shared" si="6"/>
        <v>32.5</v>
      </c>
      <c r="E93" s="86">
        <f t="shared" si="7"/>
        <v>-13500</v>
      </c>
    </row>
    <row r="94" spans="1:5" s="78" customFormat="1" ht="12.75">
      <c r="A94" s="49" t="s">
        <v>57</v>
      </c>
      <c r="B94" s="32">
        <v>20000</v>
      </c>
      <c r="C94" s="90">
        <v>6500</v>
      </c>
      <c r="D94" s="85">
        <f t="shared" si="6"/>
        <v>32.5</v>
      </c>
      <c r="E94" s="86">
        <f t="shared" si="7"/>
        <v>-13500</v>
      </c>
    </row>
    <row r="95" spans="1:5" s="78" customFormat="1" ht="12.75">
      <c r="A95" s="49" t="s">
        <v>18</v>
      </c>
      <c r="B95" s="32">
        <f>SUM(B96)</f>
        <v>1320500</v>
      </c>
      <c r="C95" s="32">
        <f>SUM(C96)</f>
        <v>0</v>
      </c>
      <c r="D95" s="85">
        <f t="shared" si="6"/>
        <v>0</v>
      </c>
      <c r="E95" s="86">
        <f t="shared" si="7"/>
        <v>-1320500</v>
      </c>
    </row>
    <row r="96" spans="1:5" s="78" customFormat="1" ht="12.75">
      <c r="A96" s="49" t="s">
        <v>281</v>
      </c>
      <c r="B96" s="32">
        <f>SUM(B113,B106,B97)</f>
        <v>1320500</v>
      </c>
      <c r="C96" s="32">
        <f>SUM(C113,C106,C97)</f>
        <v>0</v>
      </c>
      <c r="D96" s="85">
        <f t="shared" si="6"/>
        <v>0</v>
      </c>
      <c r="E96" s="86">
        <f t="shared" si="7"/>
        <v>-1320500</v>
      </c>
    </row>
    <row r="97" spans="1:5" s="78" customFormat="1" ht="12.75">
      <c r="A97" s="126" t="s">
        <v>279</v>
      </c>
      <c r="B97" s="127">
        <f>SUM(B98,B102)</f>
        <v>711000</v>
      </c>
      <c r="C97" s="127">
        <f>SUM(C98:C102)</f>
        <v>0</v>
      </c>
      <c r="D97" s="85">
        <f t="shared" si="6"/>
        <v>0</v>
      </c>
      <c r="E97" s="86">
        <f t="shared" si="7"/>
        <v>-711000</v>
      </c>
    </row>
    <row r="98" spans="1:5" s="78" customFormat="1" ht="24.75" customHeight="1">
      <c r="A98" s="49" t="s">
        <v>282</v>
      </c>
      <c r="B98" s="32">
        <f>SUM(B99:B101)</f>
        <v>711000</v>
      </c>
      <c r="C98" s="32">
        <f>SUM(C99:C101)</f>
        <v>0</v>
      </c>
      <c r="D98" s="85">
        <f t="shared" si="6"/>
        <v>0</v>
      </c>
      <c r="E98" s="86">
        <f t="shared" si="7"/>
        <v>-711000</v>
      </c>
    </row>
    <row r="99" spans="1:5" s="78" customFormat="1" ht="15.75" customHeight="1">
      <c r="A99" s="49" t="s">
        <v>292</v>
      </c>
      <c r="B99" s="32">
        <v>663500</v>
      </c>
      <c r="C99" s="88"/>
      <c r="D99" s="85">
        <f t="shared" si="6"/>
        <v>0</v>
      </c>
      <c r="E99" s="86">
        <f t="shared" si="7"/>
        <v>-663500</v>
      </c>
    </row>
    <row r="100" spans="1:5" s="78" customFormat="1" ht="13.5" customHeight="1">
      <c r="A100" s="49" t="s">
        <v>293</v>
      </c>
      <c r="B100" s="32"/>
      <c r="C100" s="88"/>
      <c r="D100" s="85" t="str">
        <f t="shared" si="6"/>
        <v>   </v>
      </c>
      <c r="E100" s="86">
        <f t="shared" si="7"/>
        <v>0</v>
      </c>
    </row>
    <row r="101" spans="1:5" s="78" customFormat="1" ht="15" customHeight="1">
      <c r="A101" s="49" t="s">
        <v>294</v>
      </c>
      <c r="B101" s="32">
        <v>47500</v>
      </c>
      <c r="C101" s="88"/>
      <c r="D101" s="85">
        <f t="shared" si="6"/>
        <v>0</v>
      </c>
      <c r="E101" s="86">
        <f t="shared" si="7"/>
        <v>-47500</v>
      </c>
    </row>
    <row r="102" spans="1:5" s="78" customFormat="1" ht="24.75" customHeight="1">
      <c r="A102" s="49" t="s">
        <v>283</v>
      </c>
      <c r="B102" s="32">
        <f>SUM(B103:B105)</f>
        <v>0</v>
      </c>
      <c r="C102" s="32">
        <f>SUM(C103:C105)</f>
        <v>0</v>
      </c>
      <c r="D102" s="85" t="str">
        <f t="shared" si="6"/>
        <v>   </v>
      </c>
      <c r="E102" s="86">
        <f t="shared" si="7"/>
        <v>0</v>
      </c>
    </row>
    <row r="103" spans="1:5" s="78" customFormat="1" ht="15" customHeight="1">
      <c r="A103" s="49" t="s">
        <v>292</v>
      </c>
      <c r="B103" s="32">
        <v>0</v>
      </c>
      <c r="C103" s="88"/>
      <c r="D103" s="85" t="str">
        <f t="shared" si="6"/>
        <v>   </v>
      </c>
      <c r="E103" s="86">
        <f t="shared" si="7"/>
        <v>0</v>
      </c>
    </row>
    <row r="104" spans="1:5" s="78" customFormat="1" ht="12" customHeight="1">
      <c r="A104" s="49" t="s">
        <v>293</v>
      </c>
      <c r="B104" s="32">
        <v>0</v>
      </c>
      <c r="C104" s="88"/>
      <c r="D104" s="85" t="str">
        <f t="shared" si="6"/>
        <v>   </v>
      </c>
      <c r="E104" s="86">
        <f t="shared" si="7"/>
        <v>0</v>
      </c>
    </row>
    <row r="105" spans="1:5" s="78" customFormat="1" ht="14.25" customHeight="1">
      <c r="A105" s="49" t="s">
        <v>294</v>
      </c>
      <c r="B105" s="32">
        <v>0</v>
      </c>
      <c r="C105" s="88"/>
      <c r="D105" s="85" t="str">
        <f t="shared" si="6"/>
        <v>   </v>
      </c>
      <c r="E105" s="86">
        <f t="shared" si="7"/>
        <v>0</v>
      </c>
    </row>
    <row r="106" spans="1:5" s="78" customFormat="1" ht="14.25" customHeight="1">
      <c r="A106" s="126" t="s">
        <v>280</v>
      </c>
      <c r="B106" s="127">
        <f>SUM(B107,B110)</f>
        <v>324500</v>
      </c>
      <c r="C106" s="127">
        <f>SUM(C107:C110)</f>
        <v>0</v>
      </c>
      <c r="D106" s="85">
        <f t="shared" si="6"/>
        <v>0</v>
      </c>
      <c r="E106" s="86">
        <f t="shared" si="7"/>
        <v>-324500</v>
      </c>
    </row>
    <row r="107" spans="1:5" s="78" customFormat="1" ht="14.25" customHeight="1">
      <c r="A107" s="123" t="s">
        <v>284</v>
      </c>
      <c r="B107" s="121">
        <f>SUM(B108:B109)</f>
        <v>324500</v>
      </c>
      <c r="C107" s="121">
        <f>SUM(C108:C109)</f>
        <v>0</v>
      </c>
      <c r="D107" s="85">
        <f t="shared" si="6"/>
        <v>0</v>
      </c>
      <c r="E107" s="86">
        <f t="shared" si="7"/>
        <v>-324500</v>
      </c>
    </row>
    <row r="108" spans="1:5" s="78" customFormat="1" ht="14.25" customHeight="1">
      <c r="A108" s="49" t="s">
        <v>293</v>
      </c>
      <c r="B108" s="121">
        <v>324500</v>
      </c>
      <c r="C108" s="128"/>
      <c r="D108" s="85">
        <f t="shared" si="6"/>
        <v>0</v>
      </c>
      <c r="E108" s="86">
        <f t="shared" si="7"/>
        <v>-324500</v>
      </c>
    </row>
    <row r="109" spans="1:5" s="78" customFormat="1" ht="14.25" customHeight="1">
      <c r="A109" s="49" t="s">
        <v>294</v>
      </c>
      <c r="B109" s="121">
        <v>0</v>
      </c>
      <c r="C109" s="128"/>
      <c r="D109" s="85" t="str">
        <f t="shared" si="6"/>
        <v>   </v>
      </c>
      <c r="E109" s="86">
        <f t="shared" si="7"/>
        <v>0</v>
      </c>
    </row>
    <row r="110" spans="1:5" s="78" customFormat="1" ht="26.25" customHeight="1">
      <c r="A110" s="123" t="s">
        <v>283</v>
      </c>
      <c r="B110" s="121">
        <f>SUM(B111:B112)</f>
        <v>0</v>
      </c>
      <c r="C110" s="121">
        <f>SUM(C111:C112)</f>
        <v>0</v>
      </c>
      <c r="D110" s="85" t="str">
        <f t="shared" si="6"/>
        <v>   </v>
      </c>
      <c r="E110" s="86">
        <f t="shared" si="7"/>
        <v>0</v>
      </c>
    </row>
    <row r="111" spans="1:5" s="78" customFormat="1" ht="14.25" customHeight="1">
      <c r="A111" s="49" t="s">
        <v>293</v>
      </c>
      <c r="B111" s="121">
        <v>0</v>
      </c>
      <c r="C111" s="128"/>
      <c r="D111" s="85" t="str">
        <f t="shared" si="6"/>
        <v>   </v>
      </c>
      <c r="E111" s="86">
        <f t="shared" si="7"/>
        <v>0</v>
      </c>
    </row>
    <row r="112" spans="1:5" s="78" customFormat="1" ht="12.75" customHeight="1">
      <c r="A112" s="49" t="s">
        <v>294</v>
      </c>
      <c r="B112" s="121">
        <v>0</v>
      </c>
      <c r="C112" s="128"/>
      <c r="D112" s="85" t="str">
        <f t="shared" si="6"/>
        <v>   </v>
      </c>
      <c r="E112" s="86">
        <f t="shared" si="7"/>
        <v>0</v>
      </c>
    </row>
    <row r="113" spans="1:5" s="78" customFormat="1" ht="16.5" customHeight="1">
      <c r="A113" s="126" t="s">
        <v>285</v>
      </c>
      <c r="B113" s="127">
        <f>SUM(B114:B116)</f>
        <v>285000</v>
      </c>
      <c r="C113" s="127">
        <f>SUM(C114:C116)</f>
        <v>0</v>
      </c>
      <c r="D113" s="85">
        <f t="shared" si="6"/>
        <v>0</v>
      </c>
      <c r="E113" s="86">
        <f t="shared" si="7"/>
        <v>-285000</v>
      </c>
    </row>
    <row r="114" spans="1:5" s="78" customFormat="1" ht="16.5" customHeight="1">
      <c r="A114" s="49" t="s">
        <v>292</v>
      </c>
      <c r="B114" s="127">
        <v>0</v>
      </c>
      <c r="C114" s="128"/>
      <c r="D114" s="85" t="str">
        <f t="shared" si="6"/>
        <v>   </v>
      </c>
      <c r="E114" s="86">
        <f t="shared" si="7"/>
        <v>0</v>
      </c>
    </row>
    <row r="115" spans="1:5" s="78" customFormat="1" ht="16.5" customHeight="1">
      <c r="A115" s="49" t="s">
        <v>293</v>
      </c>
      <c r="B115" s="127">
        <v>228000</v>
      </c>
      <c r="C115" s="128"/>
      <c r="D115" s="85">
        <f t="shared" si="6"/>
        <v>0</v>
      </c>
      <c r="E115" s="86">
        <f t="shared" si="7"/>
        <v>-228000</v>
      </c>
    </row>
    <row r="116" spans="1:5" s="78" customFormat="1" ht="16.5" customHeight="1">
      <c r="A116" s="49" t="s">
        <v>294</v>
      </c>
      <c r="B116" s="127">
        <v>57000</v>
      </c>
      <c r="C116" s="128"/>
      <c r="D116" s="85">
        <f t="shared" si="6"/>
        <v>0</v>
      </c>
      <c r="E116" s="86">
        <f t="shared" si="7"/>
        <v>-57000</v>
      </c>
    </row>
    <row r="117" spans="1:5" s="78" customFormat="1" ht="16.5" customHeight="1">
      <c r="A117" s="31" t="s">
        <v>19</v>
      </c>
      <c r="B117" s="84">
        <f>SUM(B62,B69,B71,B73,B76,B88,B89,B93,B95,)</f>
        <v>4149800</v>
      </c>
      <c r="C117" s="84">
        <f>SUM(C62,C69,C71,C73,C76,C88,C89,C93,C95,)</f>
        <v>818371.79</v>
      </c>
      <c r="D117" s="85">
        <f>IF(B117=0,"   ",C117/B117*100)</f>
        <v>19.72075256638874</v>
      </c>
      <c r="E117" s="86">
        <f>C117-B117</f>
        <v>-3331428.21</v>
      </c>
    </row>
    <row r="118" spans="1:5" s="78" customFormat="1" ht="13.5" thickBot="1">
      <c r="A118" s="96" t="s">
        <v>267</v>
      </c>
      <c r="B118" s="111">
        <f>B64+B91</f>
        <v>1184500</v>
      </c>
      <c r="C118" s="111">
        <f>C64+C91</f>
        <v>371496.22</v>
      </c>
      <c r="D118" s="112">
        <f>IF(B118=0,"   ",C118/B118*100)</f>
        <v>31.363125369354155</v>
      </c>
      <c r="E118" s="113">
        <f>C118-B118</f>
        <v>-813003.78</v>
      </c>
    </row>
    <row r="119" spans="1:5" s="78" customFormat="1" ht="12.75" customHeight="1" hidden="1">
      <c r="A119" s="106" t="s">
        <v>33</v>
      </c>
      <c r="B119" s="107"/>
      <c r="C119" s="108"/>
      <c r="D119" s="109" t="e">
        <f>IF(#REF!=0,"   ",C119/#REF!)</f>
        <v>#REF!</v>
      </c>
      <c r="E119" s="110" t="e">
        <f>C119-#REF!</f>
        <v>#REF!</v>
      </c>
    </row>
    <row r="120" spans="1:5" s="78" customFormat="1" ht="12.75" customHeight="1" hidden="1">
      <c r="A120" s="93" t="s">
        <v>34</v>
      </c>
      <c r="B120" s="94">
        <v>1122919</v>
      </c>
      <c r="C120" s="95">
        <v>815256</v>
      </c>
      <c r="D120" s="85" t="e">
        <f>IF(#REF!=0,"   ",C120/#REF!)</f>
        <v>#REF!</v>
      </c>
      <c r="E120" s="86" t="e">
        <f>C120-#REF!</f>
        <v>#REF!</v>
      </c>
    </row>
    <row r="121" spans="1:5" s="78" customFormat="1" ht="13.5" customHeight="1" hidden="1" thickBot="1">
      <c r="A121" s="96" t="s">
        <v>35</v>
      </c>
      <c r="B121" s="97">
        <v>1700000</v>
      </c>
      <c r="C121" s="98">
        <v>1700000</v>
      </c>
      <c r="D121" s="85" t="e">
        <f>IF(#REF!=0,"   ",C121/#REF!)</f>
        <v>#REF!</v>
      </c>
      <c r="E121" s="86" t="e">
        <f>C121-#REF!</f>
        <v>#REF!</v>
      </c>
    </row>
    <row r="122" spans="1:5" s="78" customFormat="1" ht="23.25" customHeight="1">
      <c r="A122" s="114" t="s">
        <v>21</v>
      </c>
      <c r="B122" s="114"/>
      <c r="C122" s="139"/>
      <c r="D122" s="139"/>
      <c r="E122" s="139"/>
    </row>
    <row r="123" spans="1:5" s="78" customFormat="1" ht="12" customHeight="1">
      <c r="A123" s="114" t="s">
        <v>65</v>
      </c>
      <c r="B123" s="114"/>
      <c r="C123" s="115" t="s">
        <v>66</v>
      </c>
      <c r="D123" s="116"/>
      <c r="E123" s="117"/>
    </row>
    <row r="124" spans="1:5" s="7" customFormat="1" ht="12.75">
      <c r="A124" s="46"/>
      <c r="B124" s="46"/>
      <c r="C124" s="47"/>
      <c r="D124" s="46"/>
      <c r="E124" s="48"/>
    </row>
    <row r="125" spans="3:5" s="7" customFormat="1" ht="12.75">
      <c r="C125" s="6"/>
      <c r="E125" s="2"/>
    </row>
    <row r="126" spans="3:5" s="7" customFormat="1" ht="12.75">
      <c r="C126" s="6"/>
      <c r="E126" s="2"/>
    </row>
    <row r="127" spans="3:5" s="7" customFormat="1" ht="12.75">
      <c r="C127" s="6"/>
      <c r="E127" s="2"/>
    </row>
    <row r="128" spans="3:5" s="7" customFormat="1" ht="12.75">
      <c r="C128" s="6"/>
      <c r="E128" s="2"/>
    </row>
    <row r="129" spans="3:5" s="7" customFormat="1" ht="12.75">
      <c r="C129" s="6"/>
      <c r="E129" s="2"/>
    </row>
    <row r="130" spans="3:5" s="7" customFormat="1" ht="12.75">
      <c r="C130" s="6"/>
      <c r="E130" s="2"/>
    </row>
    <row r="131" spans="3:5" s="7" customFormat="1" ht="12.75">
      <c r="C131" s="6"/>
      <c r="E131" s="2"/>
    </row>
    <row r="132" spans="3:5" s="7" customFormat="1" ht="12.75">
      <c r="C132" s="6"/>
      <c r="E132" s="2"/>
    </row>
    <row r="133" spans="3:5" s="7" customFormat="1" ht="12.75">
      <c r="C133" s="6"/>
      <c r="E133" s="2"/>
    </row>
  </sheetData>
  <mergeCells count="2">
    <mergeCell ref="C122:E122"/>
    <mergeCell ref="A1:E1"/>
  </mergeCells>
  <printOptions horizontalCentered="1" verticalCentered="1"/>
  <pageMargins left="0.5905511811023623" right="0.5905511811023623" top="0.35433070866141736" bottom="0.1968503937007874" header="0.11811023622047245" footer="0.11811023622047245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96"/>
  <sheetViews>
    <sheetView zoomScale="75" zoomScaleNormal="75" workbookViewId="0" topLeftCell="A37">
      <selection activeCell="A71" sqref="A71:IV71"/>
    </sheetView>
  </sheetViews>
  <sheetFormatPr defaultColWidth="9.00390625" defaultRowHeight="12.75"/>
  <cols>
    <col min="1" max="1" width="92.875" style="0" customWidth="1"/>
    <col min="2" max="2" width="16.125" style="0" customWidth="1"/>
    <col min="3" max="3" width="18.75390625" style="0" customWidth="1"/>
    <col min="4" max="4" width="17.375" style="0" customWidth="1"/>
    <col min="5" max="5" width="19.25390625" style="0" customWidth="1"/>
  </cols>
  <sheetData>
    <row r="1" spans="1:5" ht="18">
      <c r="A1" s="141" t="s">
        <v>308</v>
      </c>
      <c r="B1" s="141"/>
      <c r="C1" s="141"/>
      <c r="D1" s="141"/>
      <c r="E1" s="141"/>
    </row>
    <row r="2" spans="1:5" ht="12.75">
      <c r="A2" s="4"/>
      <c r="B2" s="4"/>
      <c r="C2" s="3"/>
      <c r="D2" s="3"/>
      <c r="E2" s="3"/>
    </row>
    <row r="3" spans="1:5" ht="13.5" thickBot="1">
      <c r="A3" s="4"/>
      <c r="B3" s="4"/>
      <c r="C3" s="5"/>
      <c r="D3" s="4"/>
      <c r="E3" s="4" t="s">
        <v>0</v>
      </c>
    </row>
    <row r="4" spans="1:5" ht="59.25" customHeight="1">
      <c r="A4" s="36" t="s">
        <v>1</v>
      </c>
      <c r="B4" s="20" t="s">
        <v>259</v>
      </c>
      <c r="C4" s="33" t="s">
        <v>307</v>
      </c>
      <c r="D4" s="20" t="s">
        <v>255</v>
      </c>
      <c r="E4" s="104" t="s">
        <v>260</v>
      </c>
    </row>
    <row r="5" spans="1:5" ht="12.75">
      <c r="A5" s="13">
        <v>1</v>
      </c>
      <c r="B5" s="99"/>
      <c r="C5" s="10">
        <v>3</v>
      </c>
      <c r="D5" s="30">
        <v>4</v>
      </c>
      <c r="E5" s="14">
        <v>5</v>
      </c>
    </row>
    <row r="6" spans="1:5" ht="12.75">
      <c r="A6" s="23" t="s">
        <v>2</v>
      </c>
      <c r="B6" s="11"/>
      <c r="C6" s="12"/>
      <c r="D6" s="26"/>
      <c r="E6" s="15"/>
    </row>
    <row r="7" spans="1:5" ht="12.75">
      <c r="A7" s="18" t="s">
        <v>59</v>
      </c>
      <c r="B7" s="25">
        <f>SUM(B8)</f>
        <v>123600</v>
      </c>
      <c r="C7" s="25">
        <f>SUM(C8)</f>
        <v>17179.6</v>
      </c>
      <c r="D7" s="27">
        <f aca="true" t="shared" si="0" ref="D7:D70">IF(B7=0,"   ",C7/B7*100)</f>
        <v>13.89935275080906</v>
      </c>
      <c r="E7" s="51">
        <f aca="true" t="shared" si="1" ref="E7:E90">C7-B7</f>
        <v>-106420.4</v>
      </c>
    </row>
    <row r="8" spans="1:5" ht="12.75">
      <c r="A8" s="17" t="s">
        <v>58</v>
      </c>
      <c r="B8" s="26">
        <v>123600</v>
      </c>
      <c r="C8" s="28">
        <v>17179.6</v>
      </c>
      <c r="D8" s="27">
        <f t="shared" si="0"/>
        <v>13.89935275080906</v>
      </c>
      <c r="E8" s="51">
        <f t="shared" si="1"/>
        <v>-106420.4</v>
      </c>
    </row>
    <row r="9" spans="1:5" ht="12.75">
      <c r="A9" s="17" t="s">
        <v>7</v>
      </c>
      <c r="B9" s="26">
        <f>SUM(B10:B10)</f>
        <v>3300</v>
      </c>
      <c r="C9" s="26">
        <f>SUM(C10:C10)</f>
        <v>4769.61</v>
      </c>
      <c r="D9" s="27">
        <f t="shared" si="0"/>
        <v>144.53363636363636</v>
      </c>
      <c r="E9" s="51">
        <f t="shared" si="1"/>
        <v>1469.6099999999997</v>
      </c>
    </row>
    <row r="10" spans="1:5" ht="15" customHeight="1">
      <c r="A10" s="17" t="s">
        <v>39</v>
      </c>
      <c r="B10" s="26">
        <v>3300</v>
      </c>
      <c r="C10" s="28">
        <v>4769.61</v>
      </c>
      <c r="D10" s="27">
        <f t="shared" si="0"/>
        <v>144.53363636363636</v>
      </c>
      <c r="E10" s="51">
        <f t="shared" si="1"/>
        <v>1469.6099999999997</v>
      </c>
    </row>
    <row r="11" spans="1:5" ht="12.75">
      <c r="A11" s="17" t="s">
        <v>9</v>
      </c>
      <c r="B11" s="26">
        <f>SUM(B12:B13)</f>
        <v>264400</v>
      </c>
      <c r="C11" s="26">
        <f>SUM(C12:C13)</f>
        <v>83863.84999999999</v>
      </c>
      <c r="D11" s="27">
        <f t="shared" si="0"/>
        <v>31.718551437216334</v>
      </c>
      <c r="E11" s="51">
        <f t="shared" si="1"/>
        <v>-180536.15000000002</v>
      </c>
    </row>
    <row r="12" spans="1:5" ht="12" customHeight="1">
      <c r="A12" s="17" t="s">
        <v>221</v>
      </c>
      <c r="B12" s="26">
        <v>31000</v>
      </c>
      <c r="C12" s="34">
        <v>4002.26</v>
      </c>
      <c r="D12" s="27">
        <f t="shared" si="0"/>
        <v>12.91051612903226</v>
      </c>
      <c r="E12" s="51">
        <f t="shared" si="1"/>
        <v>-26997.739999999998</v>
      </c>
    </row>
    <row r="13" spans="1:5" ht="12.75">
      <c r="A13" s="17" t="s">
        <v>10</v>
      </c>
      <c r="B13" s="26">
        <v>233400</v>
      </c>
      <c r="C13" s="28">
        <v>79861.59</v>
      </c>
      <c r="D13" s="27">
        <f t="shared" si="0"/>
        <v>34.216619537275065</v>
      </c>
      <c r="E13" s="51">
        <f t="shared" si="1"/>
        <v>-153538.41</v>
      </c>
    </row>
    <row r="14" spans="1:5" ht="25.5">
      <c r="A14" s="17" t="s">
        <v>152</v>
      </c>
      <c r="B14" s="26">
        <v>0</v>
      </c>
      <c r="C14" s="26">
        <v>529.57</v>
      </c>
      <c r="D14" s="27" t="str">
        <f t="shared" si="0"/>
        <v>   </v>
      </c>
      <c r="E14" s="51">
        <f t="shared" si="1"/>
        <v>529.57</v>
      </c>
    </row>
    <row r="15" spans="1:5" ht="25.5" customHeight="1">
      <c r="A15" s="17" t="s">
        <v>41</v>
      </c>
      <c r="B15" s="26">
        <f>SUM(B16,B17)</f>
        <v>9000</v>
      </c>
      <c r="C15" s="26">
        <f>SUM(C16,C17)</f>
        <v>289951.99</v>
      </c>
      <c r="D15" s="27">
        <f t="shared" si="0"/>
        <v>3221.688777777778</v>
      </c>
      <c r="E15" s="51">
        <f t="shared" si="1"/>
        <v>280951.99</v>
      </c>
    </row>
    <row r="16" spans="1:5" ht="12.75">
      <c r="A16" s="17" t="s">
        <v>42</v>
      </c>
      <c r="B16" s="26">
        <v>9000</v>
      </c>
      <c r="C16" s="34">
        <v>289951.99</v>
      </c>
      <c r="D16" s="27">
        <f t="shared" si="0"/>
        <v>3221.688777777778</v>
      </c>
      <c r="E16" s="51">
        <f t="shared" si="1"/>
        <v>280951.99</v>
      </c>
    </row>
    <row r="17" spans="1:5" ht="26.25" customHeight="1">
      <c r="A17" s="17" t="s">
        <v>43</v>
      </c>
      <c r="B17" s="26">
        <v>0</v>
      </c>
      <c r="C17" s="28">
        <v>0</v>
      </c>
      <c r="D17" s="27" t="str">
        <f t="shared" si="0"/>
        <v>   </v>
      </c>
      <c r="E17" s="51">
        <f t="shared" si="1"/>
        <v>0</v>
      </c>
    </row>
    <row r="18" spans="1:5" ht="20.25" customHeight="1">
      <c r="A18" s="44" t="s">
        <v>156</v>
      </c>
      <c r="B18" s="26">
        <v>0</v>
      </c>
      <c r="C18" s="28">
        <v>0</v>
      </c>
      <c r="D18" s="27" t="str">
        <f t="shared" si="0"/>
        <v>   </v>
      </c>
      <c r="E18" s="51">
        <f t="shared" si="1"/>
        <v>0</v>
      </c>
    </row>
    <row r="19" spans="1:5" ht="15" customHeight="1">
      <c r="A19" s="17" t="s">
        <v>112</v>
      </c>
      <c r="B19" s="26">
        <f>SUM(B20)</f>
        <v>0</v>
      </c>
      <c r="C19" s="26">
        <v>0</v>
      </c>
      <c r="D19" s="27" t="str">
        <f t="shared" si="0"/>
        <v>   </v>
      </c>
      <c r="E19" s="51">
        <f t="shared" si="1"/>
        <v>0</v>
      </c>
    </row>
    <row r="20" spans="1:5" ht="27" customHeight="1">
      <c r="A20" s="17" t="s">
        <v>113</v>
      </c>
      <c r="B20" s="25" t="s">
        <v>168</v>
      </c>
      <c r="C20" s="34">
        <v>0</v>
      </c>
      <c r="D20" s="27"/>
      <c r="E20" s="51">
        <f t="shared" si="1"/>
        <v>0</v>
      </c>
    </row>
    <row r="21" spans="1:5" ht="12.75">
      <c r="A21" s="17" t="s">
        <v>45</v>
      </c>
      <c r="B21" s="26">
        <f>SUM(B22)</f>
        <v>0</v>
      </c>
      <c r="C21" s="26">
        <v>0</v>
      </c>
      <c r="D21" s="27" t="str">
        <f t="shared" si="0"/>
        <v>   </v>
      </c>
      <c r="E21" s="51">
        <f t="shared" si="1"/>
        <v>0</v>
      </c>
    </row>
    <row r="22" spans="1:5" ht="14.25" customHeight="1">
      <c r="A22" s="17" t="s">
        <v>71</v>
      </c>
      <c r="B22" s="26">
        <v>0</v>
      </c>
      <c r="C22" s="28">
        <v>0</v>
      </c>
      <c r="D22" s="27" t="str">
        <f t="shared" si="0"/>
        <v>   </v>
      </c>
      <c r="E22" s="51">
        <f t="shared" si="1"/>
        <v>0</v>
      </c>
    </row>
    <row r="23" spans="1:5" ht="14.25" customHeight="1">
      <c r="A23" s="17" t="s">
        <v>44</v>
      </c>
      <c r="B23" s="26">
        <v>0</v>
      </c>
      <c r="C23" s="26">
        <v>0</v>
      </c>
      <c r="D23" s="27" t="str">
        <f t="shared" si="0"/>
        <v>   </v>
      </c>
      <c r="E23" s="51">
        <f t="shared" si="1"/>
        <v>0</v>
      </c>
    </row>
    <row r="24" spans="1:5" ht="18" customHeight="1">
      <c r="A24" s="16" t="s">
        <v>11</v>
      </c>
      <c r="B24" s="50">
        <f>SUM(B7,B9,B11,B15,B18,B21,B23,)</f>
        <v>400300</v>
      </c>
      <c r="C24" s="52">
        <f>SUM(C7,C9,C11,C14,C15,C18,C19,C21,C23,)</f>
        <v>396294.62</v>
      </c>
      <c r="D24" s="27">
        <f t="shared" si="0"/>
        <v>98.99940544591557</v>
      </c>
      <c r="E24" s="51">
        <f t="shared" si="1"/>
        <v>-4005.3800000000047</v>
      </c>
    </row>
    <row r="25" spans="1:5" ht="17.25" customHeight="1">
      <c r="A25" s="18" t="s">
        <v>47</v>
      </c>
      <c r="B25" s="25">
        <v>1009700</v>
      </c>
      <c r="C25" s="25">
        <v>398150</v>
      </c>
      <c r="D25" s="27">
        <f t="shared" si="0"/>
        <v>39.43250470436763</v>
      </c>
      <c r="E25" s="51">
        <f t="shared" si="1"/>
        <v>-611550</v>
      </c>
    </row>
    <row r="26" spans="1:5" ht="17.25" customHeight="1">
      <c r="A26" s="17" t="s">
        <v>68</v>
      </c>
      <c r="B26" s="26">
        <v>375000</v>
      </c>
      <c r="C26" s="28">
        <v>0</v>
      </c>
      <c r="D26" s="27">
        <f t="shared" si="0"/>
        <v>0</v>
      </c>
      <c r="E26" s="51">
        <f t="shared" si="1"/>
        <v>-375000</v>
      </c>
    </row>
    <row r="27" spans="1:5" ht="32.25" customHeight="1">
      <c r="A27" s="17" t="s">
        <v>72</v>
      </c>
      <c r="B27" s="26">
        <v>45900</v>
      </c>
      <c r="C27" s="28">
        <v>45900</v>
      </c>
      <c r="D27" s="27">
        <f t="shared" si="0"/>
        <v>100</v>
      </c>
      <c r="E27" s="51">
        <f t="shared" si="1"/>
        <v>0</v>
      </c>
    </row>
    <row r="28" spans="1:5" ht="26.25" customHeight="1">
      <c r="A28" s="17" t="s">
        <v>73</v>
      </c>
      <c r="B28" s="26">
        <v>100</v>
      </c>
      <c r="C28" s="28">
        <v>0</v>
      </c>
      <c r="D28" s="27"/>
      <c r="E28" s="51">
        <f t="shared" si="1"/>
        <v>-100</v>
      </c>
    </row>
    <row r="29" spans="1:5" ht="52.5" customHeight="1">
      <c r="A29" s="17" t="s">
        <v>116</v>
      </c>
      <c r="B29" s="26">
        <v>0</v>
      </c>
      <c r="C29" s="28">
        <v>0</v>
      </c>
      <c r="D29" s="27"/>
      <c r="E29" s="51">
        <f t="shared" si="1"/>
        <v>0</v>
      </c>
    </row>
    <row r="30" spans="1:5" ht="25.5" customHeight="1">
      <c r="A30" s="17" t="s">
        <v>145</v>
      </c>
      <c r="B30" s="26">
        <v>0</v>
      </c>
      <c r="C30" s="28">
        <v>0</v>
      </c>
      <c r="D30" s="27"/>
      <c r="E30" s="51">
        <f t="shared" si="1"/>
        <v>0</v>
      </c>
    </row>
    <row r="31" spans="1:5" ht="18" customHeight="1">
      <c r="A31" s="17" t="s">
        <v>84</v>
      </c>
      <c r="B31" s="26">
        <v>0</v>
      </c>
      <c r="C31" s="28">
        <v>0</v>
      </c>
      <c r="D31" s="27"/>
      <c r="E31" s="51">
        <f t="shared" si="1"/>
        <v>0</v>
      </c>
    </row>
    <row r="32" spans="1:5" ht="27.75" customHeight="1">
      <c r="A32" s="17" t="s">
        <v>177</v>
      </c>
      <c r="B32" s="26">
        <v>7500</v>
      </c>
      <c r="C32" s="26">
        <v>0</v>
      </c>
      <c r="D32" s="27"/>
      <c r="E32" s="51">
        <f t="shared" si="1"/>
        <v>-7500</v>
      </c>
    </row>
    <row r="33" spans="1:5" ht="18" customHeight="1">
      <c r="A33" s="17" t="s">
        <v>117</v>
      </c>
      <c r="B33" s="28">
        <f>B34</f>
        <v>142100</v>
      </c>
      <c r="C33" s="28">
        <f>C34</f>
        <v>40000</v>
      </c>
      <c r="D33" s="27">
        <f t="shared" si="0"/>
        <v>28.149190710767062</v>
      </c>
      <c r="E33" s="51">
        <f t="shared" si="1"/>
        <v>-102100</v>
      </c>
    </row>
    <row r="34" spans="1:5" s="7" customFormat="1" ht="14.25" customHeight="1">
      <c r="A34" s="17" t="s">
        <v>216</v>
      </c>
      <c r="B34" s="66">
        <v>142100</v>
      </c>
      <c r="C34" s="28">
        <v>40000</v>
      </c>
      <c r="D34" s="66">
        <f t="shared" si="0"/>
        <v>28.149190710767062</v>
      </c>
      <c r="E34" s="45">
        <f t="shared" si="1"/>
        <v>-102100</v>
      </c>
    </row>
    <row r="35" spans="1:5" ht="39" customHeight="1">
      <c r="A35" s="17" t="s">
        <v>178</v>
      </c>
      <c r="B35" s="26">
        <v>0</v>
      </c>
      <c r="C35" s="26">
        <v>0</v>
      </c>
      <c r="D35" s="27" t="str">
        <f t="shared" si="0"/>
        <v>   </v>
      </c>
      <c r="E35" s="51">
        <f t="shared" si="1"/>
        <v>0</v>
      </c>
    </row>
    <row r="36" spans="1:5" ht="18" customHeight="1">
      <c r="A36" s="17" t="s">
        <v>48</v>
      </c>
      <c r="B36" s="26">
        <v>0</v>
      </c>
      <c r="C36" s="28">
        <v>0</v>
      </c>
      <c r="D36" s="27" t="str">
        <f t="shared" si="0"/>
        <v>   </v>
      </c>
      <c r="E36" s="51">
        <f t="shared" si="1"/>
        <v>0</v>
      </c>
    </row>
    <row r="37" spans="1:5" ht="25.5" customHeight="1">
      <c r="A37" s="16" t="s">
        <v>14</v>
      </c>
      <c r="B37" s="25">
        <f>SUM(B24,B25,B26:B33,B35,B36)</f>
        <v>1980600</v>
      </c>
      <c r="C37" s="25">
        <f>SUM(C24,C25,C26:C33,C35,C36)</f>
        <v>880344.62</v>
      </c>
      <c r="D37" s="27">
        <f t="shared" si="0"/>
        <v>44.448380288801374</v>
      </c>
      <c r="E37" s="51">
        <f t="shared" si="1"/>
        <v>-1100255.38</v>
      </c>
    </row>
    <row r="38" spans="1:5" ht="14.25" customHeight="1">
      <c r="A38" s="31" t="s">
        <v>69</v>
      </c>
      <c r="B38" s="25"/>
      <c r="C38" s="26"/>
      <c r="D38" s="27" t="str">
        <f t="shared" si="0"/>
        <v>   </v>
      </c>
      <c r="E38" s="51"/>
    </row>
    <row r="39" spans="1:5" ht="12.75">
      <c r="A39" s="23" t="s">
        <v>15</v>
      </c>
      <c r="B39" s="53"/>
      <c r="C39" s="54"/>
      <c r="D39" s="27" t="str">
        <f t="shared" si="0"/>
        <v>   </v>
      </c>
      <c r="E39" s="51"/>
    </row>
    <row r="40" spans="1:5" ht="12.75">
      <c r="A40" s="17" t="s">
        <v>49</v>
      </c>
      <c r="B40" s="26">
        <v>758300</v>
      </c>
      <c r="C40" s="26">
        <v>285621.8</v>
      </c>
      <c r="D40" s="27">
        <f t="shared" si="0"/>
        <v>37.66606883819069</v>
      </c>
      <c r="E40" s="51">
        <f t="shared" si="1"/>
        <v>-472678.2</v>
      </c>
    </row>
    <row r="41" spans="1:5" ht="16.5" customHeight="1">
      <c r="A41" s="17" t="s">
        <v>50</v>
      </c>
      <c r="B41" s="26">
        <v>757800</v>
      </c>
      <c r="C41" s="26">
        <v>285621.8</v>
      </c>
      <c r="D41" s="27">
        <f t="shared" si="0"/>
        <v>37.69092108735814</v>
      </c>
      <c r="E41" s="51">
        <f t="shared" si="1"/>
        <v>-472178.2</v>
      </c>
    </row>
    <row r="42" spans="1:5" ht="12.75">
      <c r="A42" s="123" t="s">
        <v>265</v>
      </c>
      <c r="B42" s="26">
        <v>476900</v>
      </c>
      <c r="C42" s="29">
        <v>164106.96</v>
      </c>
      <c r="D42" s="27">
        <f t="shared" si="0"/>
        <v>34.411188928496536</v>
      </c>
      <c r="E42" s="51">
        <f t="shared" si="1"/>
        <v>-312793.04000000004</v>
      </c>
    </row>
    <row r="43" spans="1:5" ht="12.75">
      <c r="A43" s="17" t="s">
        <v>217</v>
      </c>
      <c r="B43" s="26">
        <v>100</v>
      </c>
      <c r="C43" s="29">
        <v>0</v>
      </c>
      <c r="D43" s="27">
        <f t="shared" si="0"/>
        <v>0</v>
      </c>
      <c r="E43" s="51">
        <f t="shared" si="1"/>
        <v>-100</v>
      </c>
    </row>
    <row r="44" spans="1:5" ht="12.75">
      <c r="A44" s="17" t="s">
        <v>176</v>
      </c>
      <c r="B44" s="26">
        <v>500</v>
      </c>
      <c r="C44" s="28">
        <v>0</v>
      </c>
      <c r="D44" s="27">
        <f t="shared" si="0"/>
        <v>0</v>
      </c>
      <c r="E44" s="51">
        <f t="shared" si="1"/>
        <v>-500</v>
      </c>
    </row>
    <row r="45" spans="1:5" ht="12.75">
      <c r="A45" s="17" t="s">
        <v>70</v>
      </c>
      <c r="B45" s="28">
        <f>SUM(B46)</f>
        <v>45900</v>
      </c>
      <c r="C45" s="28">
        <f>SUM(C46)</f>
        <v>17033.71</v>
      </c>
      <c r="D45" s="27">
        <f t="shared" si="0"/>
        <v>37.110479302832246</v>
      </c>
      <c r="E45" s="51">
        <f t="shared" si="1"/>
        <v>-28866.29</v>
      </c>
    </row>
    <row r="46" spans="1:5" ht="27.75" customHeight="1">
      <c r="A46" s="17" t="s">
        <v>212</v>
      </c>
      <c r="B46" s="26">
        <v>45900</v>
      </c>
      <c r="C46" s="28">
        <v>17033.71</v>
      </c>
      <c r="D46" s="27">
        <f t="shared" si="0"/>
        <v>37.110479302832246</v>
      </c>
      <c r="E46" s="51">
        <f t="shared" si="1"/>
        <v>-28866.29</v>
      </c>
    </row>
    <row r="47" spans="1:5" ht="18" customHeight="1">
      <c r="A47" s="17" t="s">
        <v>51</v>
      </c>
      <c r="B47" s="26">
        <f>SUM(B48)</f>
        <v>400</v>
      </c>
      <c r="C47" s="28">
        <f>SUM(C48)</f>
        <v>0</v>
      </c>
      <c r="D47" s="27">
        <f t="shared" si="0"/>
        <v>0</v>
      </c>
      <c r="E47" s="51">
        <f t="shared" si="1"/>
        <v>-400</v>
      </c>
    </row>
    <row r="48" spans="1:5" ht="25.5" customHeight="1">
      <c r="A48" s="49" t="s">
        <v>154</v>
      </c>
      <c r="B48" s="26">
        <v>400</v>
      </c>
      <c r="C48" s="28">
        <v>0</v>
      </c>
      <c r="D48" s="27">
        <f t="shared" si="0"/>
        <v>0</v>
      </c>
      <c r="E48" s="51">
        <f t="shared" si="1"/>
        <v>-400</v>
      </c>
    </row>
    <row r="49" spans="1:5" ht="12.75">
      <c r="A49" s="17" t="s">
        <v>52</v>
      </c>
      <c r="B49" s="26">
        <f>SUM(B50:B50)</f>
        <v>0</v>
      </c>
      <c r="C49" s="26">
        <f>SUM(C50:C50)</f>
        <v>0</v>
      </c>
      <c r="D49" s="27" t="str">
        <f t="shared" si="0"/>
        <v>   </v>
      </c>
      <c r="E49" s="51">
        <f t="shared" si="1"/>
        <v>0</v>
      </c>
    </row>
    <row r="50" spans="1:5" ht="17.25" customHeight="1">
      <c r="A50" s="17" t="s">
        <v>62</v>
      </c>
      <c r="B50" s="26">
        <f>SUM(B51)</f>
        <v>0</v>
      </c>
      <c r="C50" s="26">
        <f>SUM(C51)</f>
        <v>0</v>
      </c>
      <c r="D50" s="27" t="str">
        <f t="shared" si="0"/>
        <v>   </v>
      </c>
      <c r="E50" s="51">
        <f t="shared" si="1"/>
        <v>0</v>
      </c>
    </row>
    <row r="51" spans="1:5" ht="12.75">
      <c r="A51" s="17" t="s">
        <v>77</v>
      </c>
      <c r="B51" s="26">
        <v>0</v>
      </c>
      <c r="C51" s="26">
        <v>0</v>
      </c>
      <c r="D51" s="27" t="str">
        <f t="shared" si="0"/>
        <v>   </v>
      </c>
      <c r="E51" s="51">
        <f t="shared" si="1"/>
        <v>0</v>
      </c>
    </row>
    <row r="52" spans="1:5" ht="15.75" customHeight="1">
      <c r="A52" s="17" t="s">
        <v>16</v>
      </c>
      <c r="B52" s="26">
        <f>SUM(B53,)</f>
        <v>367000</v>
      </c>
      <c r="C52" s="26">
        <f>SUM(C53,)</f>
        <v>163804.75</v>
      </c>
      <c r="D52" s="27">
        <f t="shared" si="0"/>
        <v>44.633446866485016</v>
      </c>
      <c r="E52" s="51">
        <f t="shared" si="1"/>
        <v>-203195.25</v>
      </c>
    </row>
    <row r="53" spans="1:5" ht="12.75">
      <c r="A53" s="17" t="s">
        <v>87</v>
      </c>
      <c r="B53" s="26">
        <v>367000</v>
      </c>
      <c r="C53" s="26">
        <v>163804.75</v>
      </c>
      <c r="D53" s="27">
        <f t="shared" si="0"/>
        <v>44.633446866485016</v>
      </c>
      <c r="E53" s="51">
        <f t="shared" si="1"/>
        <v>-203195.25</v>
      </c>
    </row>
    <row r="54" spans="1:5" ht="12.75">
      <c r="A54" s="17" t="s">
        <v>89</v>
      </c>
      <c r="B54" s="26">
        <v>119900</v>
      </c>
      <c r="C54" s="28">
        <v>83804.75</v>
      </c>
      <c r="D54" s="27">
        <f t="shared" si="0"/>
        <v>69.89553794829024</v>
      </c>
      <c r="E54" s="51">
        <f t="shared" si="1"/>
        <v>-36095.25</v>
      </c>
    </row>
    <row r="55" spans="1:5" ht="12.75">
      <c r="A55" s="17" t="s">
        <v>135</v>
      </c>
      <c r="B55" s="26">
        <v>142100</v>
      </c>
      <c r="C55" s="28">
        <v>40000</v>
      </c>
      <c r="D55" s="27">
        <f t="shared" si="0"/>
        <v>28.149190710767062</v>
      </c>
      <c r="E55" s="51">
        <f t="shared" si="1"/>
        <v>-102100</v>
      </c>
    </row>
    <row r="56" spans="1:5" ht="12.75">
      <c r="A56" s="17" t="s">
        <v>141</v>
      </c>
      <c r="B56" s="26">
        <v>80000</v>
      </c>
      <c r="C56" s="28">
        <v>40000</v>
      </c>
      <c r="D56" s="27">
        <f t="shared" si="0"/>
        <v>50</v>
      </c>
      <c r="E56" s="51">
        <f t="shared" si="1"/>
        <v>-40000</v>
      </c>
    </row>
    <row r="57" spans="1:5" ht="12.75">
      <c r="A57" s="17" t="s">
        <v>88</v>
      </c>
      <c r="B57" s="26">
        <v>25000</v>
      </c>
      <c r="C57" s="28">
        <v>0</v>
      </c>
      <c r="D57" s="27">
        <f t="shared" si="0"/>
        <v>0</v>
      </c>
      <c r="E57" s="51">
        <f t="shared" si="1"/>
        <v>-25000</v>
      </c>
    </row>
    <row r="58" spans="1:5" ht="12.75">
      <c r="A58" s="49" t="s">
        <v>165</v>
      </c>
      <c r="B58" s="26">
        <v>0</v>
      </c>
      <c r="C58" s="28">
        <v>0</v>
      </c>
      <c r="D58" s="27" t="str">
        <f t="shared" si="0"/>
        <v>   </v>
      </c>
      <c r="E58" s="51">
        <f t="shared" si="1"/>
        <v>0</v>
      </c>
    </row>
    <row r="59" spans="1:5" ht="14.25" customHeight="1">
      <c r="A59" s="19" t="s">
        <v>25</v>
      </c>
      <c r="B59" s="32">
        <v>10000</v>
      </c>
      <c r="C59" s="32">
        <v>1230</v>
      </c>
      <c r="D59" s="27">
        <f t="shared" si="0"/>
        <v>12.3</v>
      </c>
      <c r="E59" s="51">
        <f t="shared" si="1"/>
        <v>-8770</v>
      </c>
    </row>
    <row r="60" spans="1:5" ht="13.5" customHeight="1">
      <c r="A60" s="17" t="s">
        <v>55</v>
      </c>
      <c r="B60" s="25">
        <f>SUM(B61,)</f>
        <v>731000</v>
      </c>
      <c r="C60" s="25">
        <f>SUM(C61,)</f>
        <v>251705.59</v>
      </c>
      <c r="D60" s="27">
        <f t="shared" si="0"/>
        <v>34.43304924760602</v>
      </c>
      <c r="E60" s="51">
        <f t="shared" si="1"/>
        <v>-479294.41000000003</v>
      </c>
    </row>
    <row r="61" spans="1:5" ht="12.75">
      <c r="A61" s="17" t="s">
        <v>56</v>
      </c>
      <c r="B61" s="26">
        <v>731000</v>
      </c>
      <c r="C61" s="28">
        <v>251705.59</v>
      </c>
      <c r="D61" s="27">
        <f t="shared" si="0"/>
        <v>34.43304924760602</v>
      </c>
      <c r="E61" s="51">
        <f t="shared" si="1"/>
        <v>-479294.41000000003</v>
      </c>
    </row>
    <row r="62" spans="1:5" ht="12.75">
      <c r="A62" s="123" t="s">
        <v>265</v>
      </c>
      <c r="B62" s="26">
        <v>418200</v>
      </c>
      <c r="C62" s="28">
        <v>133556.26</v>
      </c>
      <c r="D62" s="27">
        <f t="shared" si="0"/>
        <v>31.93597800095648</v>
      </c>
      <c r="E62" s="51">
        <f t="shared" si="1"/>
        <v>-284643.74</v>
      </c>
    </row>
    <row r="63" spans="1:5" ht="12.75" customHeight="1">
      <c r="A63" s="17" t="s">
        <v>213</v>
      </c>
      <c r="B63" s="26">
        <v>7500</v>
      </c>
      <c r="C63" s="28">
        <v>0</v>
      </c>
      <c r="D63" s="27">
        <f t="shared" si="0"/>
        <v>0</v>
      </c>
      <c r="E63" s="51">
        <f t="shared" si="1"/>
        <v>-7500</v>
      </c>
    </row>
    <row r="64" spans="1:5" ht="12.75" customHeight="1">
      <c r="A64" s="17" t="s">
        <v>240</v>
      </c>
      <c r="B64" s="26">
        <v>0</v>
      </c>
      <c r="C64" s="28">
        <v>0</v>
      </c>
      <c r="D64" s="27" t="str">
        <f t="shared" si="0"/>
        <v>   </v>
      </c>
      <c r="E64" s="51">
        <f t="shared" si="1"/>
        <v>0</v>
      </c>
    </row>
    <row r="65" spans="1:5" ht="12.75">
      <c r="A65" s="17" t="s">
        <v>271</v>
      </c>
      <c r="B65" s="26">
        <f>SUM(B66,)</f>
        <v>20000</v>
      </c>
      <c r="C65" s="26">
        <f>SUM(C66,)</f>
        <v>0</v>
      </c>
      <c r="D65" s="27">
        <f t="shared" si="0"/>
        <v>0</v>
      </c>
      <c r="E65" s="51">
        <f t="shared" si="1"/>
        <v>-20000</v>
      </c>
    </row>
    <row r="66" spans="1:5" ht="12.75">
      <c r="A66" s="17" t="s">
        <v>57</v>
      </c>
      <c r="B66" s="26">
        <v>20000</v>
      </c>
      <c r="C66" s="29">
        <v>0</v>
      </c>
      <c r="D66" s="27">
        <f t="shared" si="0"/>
        <v>0</v>
      </c>
      <c r="E66" s="51">
        <f t="shared" si="1"/>
        <v>-20000</v>
      </c>
    </row>
    <row r="67" spans="1:5" ht="12.75">
      <c r="A67" s="17" t="s">
        <v>18</v>
      </c>
      <c r="B67" s="26">
        <f>B68</f>
        <v>80000</v>
      </c>
      <c r="C67" s="26">
        <f>C68</f>
        <v>0</v>
      </c>
      <c r="D67" s="27">
        <f t="shared" si="0"/>
        <v>0</v>
      </c>
      <c r="E67" s="51">
        <f t="shared" si="1"/>
        <v>-80000</v>
      </c>
    </row>
    <row r="68" spans="1:5" ht="12.75">
      <c r="A68" s="17" t="s">
        <v>281</v>
      </c>
      <c r="B68" s="26">
        <f>SUM(B69,B78,B85)</f>
        <v>80000</v>
      </c>
      <c r="C68" s="26">
        <f>SUM(C69,C78,C85)</f>
        <v>0</v>
      </c>
      <c r="D68" s="27">
        <f t="shared" si="0"/>
        <v>0</v>
      </c>
      <c r="E68" s="51">
        <f t="shared" si="1"/>
        <v>-80000</v>
      </c>
    </row>
    <row r="69" spans="1:5" ht="12.75">
      <c r="A69" s="126" t="s">
        <v>279</v>
      </c>
      <c r="B69" s="127">
        <f>SUM(B70,B74)</f>
        <v>80000</v>
      </c>
      <c r="C69" s="127">
        <f>SUM(C70,C74)</f>
        <v>0</v>
      </c>
      <c r="D69" s="27">
        <f t="shared" si="0"/>
        <v>0</v>
      </c>
      <c r="E69" s="51">
        <f t="shared" si="1"/>
        <v>-80000</v>
      </c>
    </row>
    <row r="70" spans="1:5" ht="12.75">
      <c r="A70" s="17" t="s">
        <v>284</v>
      </c>
      <c r="B70" s="26">
        <f>SUM(B71:B73)</f>
        <v>80000</v>
      </c>
      <c r="C70" s="26">
        <f>SUM(C71:C73)</f>
        <v>0</v>
      </c>
      <c r="D70" s="27">
        <f t="shared" si="0"/>
        <v>0</v>
      </c>
      <c r="E70" s="51">
        <f t="shared" si="1"/>
        <v>-80000</v>
      </c>
    </row>
    <row r="71" spans="1:5" ht="12.75">
      <c r="A71" s="49" t="s">
        <v>292</v>
      </c>
      <c r="B71" s="26">
        <v>0</v>
      </c>
      <c r="C71" s="26"/>
      <c r="D71" s="27" t="str">
        <f aca="true" t="shared" si="2" ref="D71:D89">IF(B71=0,"   ",C71/B71*100)</f>
        <v>   </v>
      </c>
      <c r="E71" s="51">
        <f t="shared" si="1"/>
        <v>0</v>
      </c>
    </row>
    <row r="72" spans="1:5" ht="12.75">
      <c r="A72" s="49" t="s">
        <v>293</v>
      </c>
      <c r="B72" s="26">
        <v>0</v>
      </c>
      <c r="C72" s="26"/>
      <c r="D72" s="27" t="str">
        <f t="shared" si="2"/>
        <v>   </v>
      </c>
      <c r="E72" s="51">
        <f t="shared" si="1"/>
        <v>0</v>
      </c>
    </row>
    <row r="73" spans="1:5" ht="12.75">
      <c r="A73" s="49" t="s">
        <v>294</v>
      </c>
      <c r="B73" s="26">
        <v>80000</v>
      </c>
      <c r="C73" s="26"/>
      <c r="D73" s="27">
        <f t="shared" si="2"/>
        <v>0</v>
      </c>
      <c r="E73" s="51">
        <f t="shared" si="1"/>
        <v>-80000</v>
      </c>
    </row>
    <row r="74" spans="1:5" ht="25.5">
      <c r="A74" s="17" t="s">
        <v>283</v>
      </c>
      <c r="B74" s="26">
        <f>SUM(B75:B77)</f>
        <v>0</v>
      </c>
      <c r="C74" s="26">
        <f>SUM(C75:C77)</f>
        <v>0</v>
      </c>
      <c r="D74" s="27" t="str">
        <f t="shared" si="2"/>
        <v>   </v>
      </c>
      <c r="E74" s="51">
        <f t="shared" si="1"/>
        <v>0</v>
      </c>
    </row>
    <row r="75" spans="1:5" ht="12.75">
      <c r="A75" s="49" t="s">
        <v>292</v>
      </c>
      <c r="B75" s="26">
        <v>0</v>
      </c>
      <c r="C75" s="26"/>
      <c r="D75" s="27" t="str">
        <f t="shared" si="2"/>
        <v>   </v>
      </c>
      <c r="E75" s="51">
        <f t="shared" si="1"/>
        <v>0</v>
      </c>
    </row>
    <row r="76" spans="1:5" ht="12.75">
      <c r="A76" s="49" t="s">
        <v>293</v>
      </c>
      <c r="B76" s="26">
        <v>0</v>
      </c>
      <c r="C76" s="26"/>
      <c r="D76" s="27" t="str">
        <f t="shared" si="2"/>
        <v>   </v>
      </c>
      <c r="E76" s="51">
        <f t="shared" si="1"/>
        <v>0</v>
      </c>
    </row>
    <row r="77" spans="1:5" ht="12.75">
      <c r="A77" s="49" t="s">
        <v>294</v>
      </c>
      <c r="B77" s="26">
        <v>0</v>
      </c>
      <c r="C77" s="26"/>
      <c r="D77" s="27" t="str">
        <f t="shared" si="2"/>
        <v>   </v>
      </c>
      <c r="E77" s="51">
        <f t="shared" si="1"/>
        <v>0</v>
      </c>
    </row>
    <row r="78" spans="1:5" ht="12.75">
      <c r="A78" s="126" t="s">
        <v>280</v>
      </c>
      <c r="B78" s="127">
        <f>SUM(B79,B82)</f>
        <v>0</v>
      </c>
      <c r="C78" s="127">
        <f>SUM(C79,C82)</f>
        <v>0</v>
      </c>
      <c r="D78" s="27" t="str">
        <f t="shared" si="2"/>
        <v>   </v>
      </c>
      <c r="E78" s="51">
        <f t="shared" si="1"/>
        <v>0</v>
      </c>
    </row>
    <row r="79" spans="1:5" ht="12.75">
      <c r="A79" s="17" t="s">
        <v>284</v>
      </c>
      <c r="B79" s="26">
        <f>SUM(B80:B81)</f>
        <v>0</v>
      </c>
      <c r="C79" s="26">
        <f>SUM(C80:C81)</f>
        <v>0</v>
      </c>
      <c r="D79" s="27" t="str">
        <f t="shared" si="2"/>
        <v>   </v>
      </c>
      <c r="E79" s="51">
        <f t="shared" si="1"/>
        <v>0</v>
      </c>
    </row>
    <row r="80" spans="1:5" ht="12.75">
      <c r="A80" s="49" t="s">
        <v>293</v>
      </c>
      <c r="B80" s="26">
        <v>0</v>
      </c>
      <c r="C80" s="26"/>
      <c r="D80" s="27" t="str">
        <f t="shared" si="2"/>
        <v>   </v>
      </c>
      <c r="E80" s="51">
        <f t="shared" si="1"/>
        <v>0</v>
      </c>
    </row>
    <row r="81" spans="1:5" ht="12.75">
      <c r="A81" s="49" t="s">
        <v>294</v>
      </c>
      <c r="B81" s="26">
        <v>0</v>
      </c>
      <c r="C81" s="26"/>
      <c r="D81" s="27" t="str">
        <f t="shared" si="2"/>
        <v>   </v>
      </c>
      <c r="E81" s="51">
        <f t="shared" si="1"/>
        <v>0</v>
      </c>
    </row>
    <row r="82" spans="1:5" ht="25.5">
      <c r="A82" s="17" t="s">
        <v>283</v>
      </c>
      <c r="B82" s="26">
        <f>SUM(B83:B84)</f>
        <v>0</v>
      </c>
      <c r="C82" s="26">
        <f>SUM(C83:C84)</f>
        <v>0</v>
      </c>
      <c r="D82" s="27" t="str">
        <f t="shared" si="2"/>
        <v>   </v>
      </c>
      <c r="E82" s="51">
        <f t="shared" si="1"/>
        <v>0</v>
      </c>
    </row>
    <row r="83" spans="1:5" ht="12.75">
      <c r="A83" s="49" t="s">
        <v>293</v>
      </c>
      <c r="B83" s="26">
        <v>0</v>
      </c>
      <c r="C83" s="26"/>
      <c r="D83" s="27" t="str">
        <f t="shared" si="2"/>
        <v>   </v>
      </c>
      <c r="E83" s="51">
        <f t="shared" si="1"/>
        <v>0</v>
      </c>
    </row>
    <row r="84" spans="1:5" ht="12.75">
      <c r="A84" s="49" t="s">
        <v>294</v>
      </c>
      <c r="B84" s="26">
        <v>0</v>
      </c>
      <c r="C84" s="26"/>
      <c r="D84" s="27" t="str">
        <f t="shared" si="2"/>
        <v>   </v>
      </c>
      <c r="E84" s="51">
        <f t="shared" si="1"/>
        <v>0</v>
      </c>
    </row>
    <row r="85" spans="1:5" ht="12.75">
      <c r="A85" s="126" t="s">
        <v>291</v>
      </c>
      <c r="B85" s="127">
        <f>SUM(B86:B88)</f>
        <v>0</v>
      </c>
      <c r="C85" s="127">
        <f>SUM(C86:C88)</f>
        <v>0</v>
      </c>
      <c r="D85" s="27" t="str">
        <f t="shared" si="2"/>
        <v>   </v>
      </c>
      <c r="E85" s="51">
        <f t="shared" si="1"/>
        <v>0</v>
      </c>
    </row>
    <row r="86" spans="1:5" ht="12.75">
      <c r="A86" s="49" t="s">
        <v>292</v>
      </c>
      <c r="B86" s="127">
        <v>0</v>
      </c>
      <c r="C86" s="127"/>
      <c r="D86" s="27" t="str">
        <f t="shared" si="2"/>
        <v>   </v>
      </c>
      <c r="E86" s="51">
        <f t="shared" si="1"/>
        <v>0</v>
      </c>
    </row>
    <row r="87" spans="1:5" ht="12.75">
      <c r="A87" s="49" t="s">
        <v>293</v>
      </c>
      <c r="B87" s="127">
        <v>0</v>
      </c>
      <c r="C87" s="127"/>
      <c r="D87" s="27" t="str">
        <f t="shared" si="2"/>
        <v>   </v>
      </c>
      <c r="E87" s="51">
        <f t="shared" si="1"/>
        <v>0</v>
      </c>
    </row>
    <row r="88" spans="1:5" ht="12.75">
      <c r="A88" s="49" t="s">
        <v>294</v>
      </c>
      <c r="B88" s="127">
        <v>0</v>
      </c>
      <c r="C88" s="127"/>
      <c r="D88" s="27" t="str">
        <f t="shared" si="2"/>
        <v>   </v>
      </c>
      <c r="E88" s="51">
        <f t="shared" si="1"/>
        <v>0</v>
      </c>
    </row>
    <row r="89" spans="1:5" ht="21.75" customHeight="1">
      <c r="A89" s="16" t="s">
        <v>19</v>
      </c>
      <c r="B89" s="25">
        <f>SUM(B40,B45,B47,B49,B52,B59,B60,B65,B67,)</f>
        <v>2012600</v>
      </c>
      <c r="C89" s="25">
        <f>SUM(C40,C45,C47,C49,C52,C59,C60,C65,C67,)</f>
        <v>719395.85</v>
      </c>
      <c r="D89" s="27">
        <f t="shared" si="2"/>
        <v>35.744601510483946</v>
      </c>
      <c r="E89" s="51">
        <f t="shared" si="1"/>
        <v>-1293204.15</v>
      </c>
    </row>
    <row r="90" spans="1:5" ht="15.75" customHeight="1" thickBot="1">
      <c r="A90" s="100" t="s">
        <v>267</v>
      </c>
      <c r="B90" s="101">
        <f>B42+B62</f>
        <v>895100</v>
      </c>
      <c r="C90" s="101">
        <f>C42+C62</f>
        <v>297663.22</v>
      </c>
      <c r="D90" s="102">
        <f>IF(B90=0,"   ",C90/B90*100)</f>
        <v>33.254744721260195</v>
      </c>
      <c r="E90" s="103">
        <f t="shared" si="1"/>
        <v>-597436.78</v>
      </c>
    </row>
    <row r="91" spans="1:5" ht="36" customHeight="1">
      <c r="A91" s="67" t="s">
        <v>21</v>
      </c>
      <c r="B91" s="67"/>
      <c r="C91" s="142"/>
      <c r="D91" s="142"/>
      <c r="E91" s="142"/>
    </row>
    <row r="92" spans="1:5" ht="14.25">
      <c r="A92" s="67" t="s">
        <v>65</v>
      </c>
      <c r="B92" s="67"/>
      <c r="C92" s="68" t="s">
        <v>66</v>
      </c>
      <c r="D92" s="69"/>
      <c r="E92" s="70"/>
    </row>
    <row r="93" spans="1:5" ht="12.75">
      <c r="A93" s="7"/>
      <c r="B93" s="7"/>
      <c r="C93" s="6"/>
      <c r="D93" s="7"/>
      <c r="E93" s="2"/>
    </row>
    <row r="94" spans="1:5" ht="12.75">
      <c r="A94" s="7"/>
      <c r="B94" s="7"/>
      <c r="C94" s="6"/>
      <c r="D94" s="7"/>
      <c r="E94" s="2"/>
    </row>
    <row r="95" spans="1:5" ht="12.75">
      <c r="A95" s="7"/>
      <c r="B95" s="7"/>
      <c r="C95" s="6"/>
      <c r="D95" s="7"/>
      <c r="E95" s="2"/>
    </row>
    <row r="96" spans="1:5" ht="12.75">
      <c r="A96" s="7"/>
      <c r="B96" s="7"/>
      <c r="C96" s="6"/>
      <c r="D96" s="7"/>
      <c r="E96" s="2"/>
    </row>
  </sheetData>
  <mergeCells count="2">
    <mergeCell ref="A1:E1"/>
    <mergeCell ref="C91:E91"/>
  </mergeCells>
  <printOptions/>
  <pageMargins left="0.7874015748031497" right="0.7874015748031497" top="0.5905511811023623" bottom="0.5118110236220472" header="0.5118110236220472" footer="0.5118110236220472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45"/>
  <sheetViews>
    <sheetView tabSelected="1" workbookViewId="0" topLeftCell="A122">
      <selection activeCell="C128" sqref="C128"/>
    </sheetView>
  </sheetViews>
  <sheetFormatPr defaultColWidth="9.00390625" defaultRowHeight="12.75"/>
  <cols>
    <col min="1" max="1" width="42.00390625" style="0" customWidth="1"/>
    <col min="2" max="2" width="16.625" style="0" customWidth="1"/>
    <col min="3" max="3" width="21.125" style="0" customWidth="1"/>
    <col min="4" max="4" width="16.75390625" style="0" customWidth="1"/>
    <col min="5" max="5" width="19.25390625" style="0" customWidth="1"/>
  </cols>
  <sheetData>
    <row r="1" spans="1:5" ht="18">
      <c r="A1" s="141" t="s">
        <v>306</v>
      </c>
      <c r="B1" s="141"/>
      <c r="C1" s="141"/>
      <c r="D1" s="141"/>
      <c r="E1" s="141"/>
    </row>
    <row r="2" spans="1:5" ht="13.5" thickBot="1">
      <c r="A2" s="4"/>
      <c r="B2" s="4"/>
      <c r="C2" s="55"/>
      <c r="D2" s="4"/>
      <c r="E2" s="4" t="s">
        <v>0</v>
      </c>
    </row>
    <row r="3" spans="1:5" ht="60" customHeight="1">
      <c r="A3" s="36" t="s">
        <v>1</v>
      </c>
      <c r="B3" s="20" t="s">
        <v>245</v>
      </c>
      <c r="C3" s="33" t="s">
        <v>307</v>
      </c>
      <c r="D3" s="20" t="s">
        <v>255</v>
      </c>
      <c r="E3" s="104" t="s">
        <v>256</v>
      </c>
    </row>
    <row r="4" spans="1:5" ht="12.75">
      <c r="A4" s="13">
        <v>1</v>
      </c>
      <c r="B4" s="99">
        <v>2</v>
      </c>
      <c r="C4" s="56">
        <v>3</v>
      </c>
      <c r="D4" s="30">
        <v>4</v>
      </c>
      <c r="E4" s="57">
        <v>5</v>
      </c>
    </row>
    <row r="5" spans="1:5" ht="15.75" customHeight="1">
      <c r="A5" s="23" t="s">
        <v>2</v>
      </c>
      <c r="B5" s="11"/>
      <c r="C5" s="58"/>
      <c r="D5" s="26"/>
      <c r="E5" s="59"/>
    </row>
    <row r="6" spans="1:5" ht="12.75">
      <c r="A6" s="18" t="s">
        <v>59</v>
      </c>
      <c r="B6" s="25">
        <f>SUM(B7)</f>
        <v>6810400</v>
      </c>
      <c r="C6" s="25">
        <f>SUM(C7)</f>
        <v>2583174.4</v>
      </c>
      <c r="D6" s="60">
        <f aca="true" t="shared" si="0" ref="D6:D22">IF(B6=0,"   ",C6/B6*100)</f>
        <v>37.92984846705039</v>
      </c>
      <c r="E6" s="61">
        <f aca="true" t="shared" si="1" ref="E6:E45">C6-B6</f>
        <v>-4227225.6</v>
      </c>
    </row>
    <row r="7" spans="1:5" ht="12.75">
      <c r="A7" s="17" t="s">
        <v>58</v>
      </c>
      <c r="B7" s="26">
        <f>Лист1!B9+Лист2!B7+Лист3!B7+Лист4!B8+Лист5!B8+Лист6!B8+Лист7!B8+Лист8!B8+Лист9!B8+Лист10!B8</f>
        <v>6810400</v>
      </c>
      <c r="C7" s="26">
        <f>Лист1!C9+Лист2!C7+Лист3!C7+Лист4!C8+Лист5!C8+Лист6!C8+Лист7!C8+Лист8!C8+Лист9!C8+Лист10!C8</f>
        <v>2583174.4</v>
      </c>
      <c r="D7" s="60">
        <f t="shared" si="0"/>
        <v>37.92984846705039</v>
      </c>
      <c r="E7" s="61">
        <f t="shared" si="1"/>
        <v>-4227225.6</v>
      </c>
    </row>
    <row r="8" spans="1:5" ht="12.75">
      <c r="A8" s="17" t="s">
        <v>7</v>
      </c>
      <c r="B8" s="26">
        <f>B9</f>
        <v>250400</v>
      </c>
      <c r="C8" s="26">
        <f>SUM(C9:C9)</f>
        <v>73839.37999999999</v>
      </c>
      <c r="D8" s="60">
        <f t="shared" si="0"/>
        <v>29.488570287539932</v>
      </c>
      <c r="E8" s="61">
        <f t="shared" si="1"/>
        <v>-176560.62</v>
      </c>
    </row>
    <row r="9" spans="1:5" ht="12.75">
      <c r="A9" s="17" t="s">
        <v>39</v>
      </c>
      <c r="B9" s="26">
        <f>Лист1!B16+Лист2!B9+Лист3!B9+Лист4!B10+Лист5!B10+Лист6!B10+Лист7!B10+Лист8!B10+Лист9!B10+Лист10!B10</f>
        <v>250400</v>
      </c>
      <c r="C9" s="26">
        <f>Лист1!C16+Лист2!C9+Лист3!C9+Лист4!C10+Лист5!C10+Лист6!C10+Лист7!C10+Лист8!C10+Лист9!C10+Лист10!C10</f>
        <v>73839.37999999999</v>
      </c>
      <c r="D9" s="60">
        <f t="shared" si="0"/>
        <v>29.488570287539932</v>
      </c>
      <c r="E9" s="61">
        <f t="shared" si="1"/>
        <v>-176560.62</v>
      </c>
    </row>
    <row r="10" spans="1:5" ht="12.75">
      <c r="A10" s="17" t="s">
        <v>9</v>
      </c>
      <c r="B10" s="26">
        <f>SUM(B11:B12)</f>
        <v>5154400</v>
      </c>
      <c r="C10" s="26">
        <f>SUM(C11:C12)</f>
        <v>1077136.1400000001</v>
      </c>
      <c r="D10" s="60">
        <f t="shared" si="0"/>
        <v>20.897410755859074</v>
      </c>
      <c r="E10" s="61">
        <f t="shared" si="1"/>
        <v>-4077263.86</v>
      </c>
    </row>
    <row r="11" spans="1:5" ht="12.75">
      <c r="A11" s="17" t="s">
        <v>40</v>
      </c>
      <c r="B11" s="26">
        <f>Лист1!B18+Лист2!B11+Лист3!B11+Лист4!B12+Лист5!B12+Лист6!B12+Лист7!B12+Лист8!B12+Лист9!B12+Лист10!B12</f>
        <v>1308200</v>
      </c>
      <c r="C11" s="26">
        <f>Лист1!C18+Лист2!C11+Лист3!C11+Лист4!C12+Лист5!C12+Лист6!C12+Лист7!C12+Лист8!C12+Лист9!C12+Лист10!C12</f>
        <v>146083.28000000003</v>
      </c>
      <c r="D11" s="60">
        <f t="shared" si="0"/>
        <v>11.166739030729248</v>
      </c>
      <c r="E11" s="61">
        <f t="shared" si="1"/>
        <v>-1162116.72</v>
      </c>
    </row>
    <row r="12" spans="1:5" ht="12.75">
      <c r="A12" s="17" t="s">
        <v>10</v>
      </c>
      <c r="B12" s="26">
        <f>Лист1!B19+Лист2!B12+Лист3!B12+Лист4!B13+Лист5!B13+Лист6!B13+Лист7!B13+Лист8!B13+Лист9!B13+Лист10!B13</f>
        <v>3846200</v>
      </c>
      <c r="C12" s="26">
        <f>Лист1!C19+Лист2!C12+Лист3!C12+Лист4!C13+Лист5!C13+Лист6!C13+Лист7!C13+Лист8!C13+Лист9!C13+Лист10!C13</f>
        <v>931052.86</v>
      </c>
      <c r="D12" s="60">
        <f t="shared" si="0"/>
        <v>24.207083874993497</v>
      </c>
      <c r="E12" s="61">
        <f t="shared" si="1"/>
        <v>-2915147.14</v>
      </c>
    </row>
    <row r="13" spans="1:5" ht="38.25">
      <c r="A13" s="17" t="s">
        <v>163</v>
      </c>
      <c r="B13" s="26">
        <v>0</v>
      </c>
      <c r="C13" s="62">
        <f>Лист1!C20+Лист2!C13+Лист3!C13+Лист4!C14+Лист5!C14+Лист6!C14+Лист7!C14+Лист8!C14+Лист9!C14+Лист10!C14</f>
        <v>1909.42</v>
      </c>
      <c r="D13" s="60" t="str">
        <f t="shared" si="0"/>
        <v>   </v>
      </c>
      <c r="E13" s="61">
        <f t="shared" si="1"/>
        <v>1909.42</v>
      </c>
    </row>
    <row r="14" spans="1:5" ht="51">
      <c r="A14" s="17" t="s">
        <v>41</v>
      </c>
      <c r="B14" s="26">
        <f>SUM(B15:B16)</f>
        <v>3134900</v>
      </c>
      <c r="C14" s="25">
        <f>SUM(C15:C16)</f>
        <v>650125.06</v>
      </c>
      <c r="D14" s="60">
        <f t="shared" si="0"/>
        <v>20.73830297617149</v>
      </c>
      <c r="E14" s="61">
        <f t="shared" si="1"/>
        <v>-2484774.94</v>
      </c>
    </row>
    <row r="15" spans="1:5" ht="12.75">
      <c r="A15" s="17" t="s">
        <v>42</v>
      </c>
      <c r="B15" s="26">
        <f>Лист1!B22+Лист2!B17+Лист3!B15+Лист4!B16+Лист5!B16+Лист6!B16+Лист7!B16+Лист8!B16+Лист9!B16+Лист10!B16</f>
        <v>2632900</v>
      </c>
      <c r="C15" s="26">
        <f>Лист1!C22+Лист2!C17+Лист3!C15+Лист4!C16+Лист5!C16+Лист6!C16+Лист7!C16+Лист8!C16+Лист9!C16+Лист10!C16</f>
        <v>501670.9</v>
      </c>
      <c r="D15" s="60">
        <f t="shared" si="0"/>
        <v>19.053929127577955</v>
      </c>
      <c r="E15" s="61">
        <f t="shared" si="1"/>
        <v>-2131229.1</v>
      </c>
    </row>
    <row r="16" spans="1:5" ht="51">
      <c r="A16" s="17" t="s">
        <v>43</v>
      </c>
      <c r="B16" s="26">
        <f>Лист1!B23+Лист2!B18+Лист3!B16+Лист4!B17+Лист5!B17+Лист6!B17+Лист7!B17+Лист8!B17+Лист9!B17+Лист10!B17</f>
        <v>502000</v>
      </c>
      <c r="C16" s="26">
        <f>Лист1!C23+Лист2!C18+Лист3!C16+Лист4!C17+Лист5!C17+Лист6!C17+Лист7!C17+Лист8!C17+Лист9!C17+Лист10!C17</f>
        <v>148454.16</v>
      </c>
      <c r="D16" s="60">
        <f t="shared" si="0"/>
        <v>29.572541832669323</v>
      </c>
      <c r="E16" s="61">
        <f t="shared" si="1"/>
        <v>-353545.83999999997</v>
      </c>
    </row>
    <row r="17" spans="1:5" ht="25.5">
      <c r="A17" s="17" t="s">
        <v>121</v>
      </c>
      <c r="B17" s="26">
        <f>SUM(B18)</f>
        <v>0</v>
      </c>
      <c r="C17" s="26">
        <f>SUM(C18)</f>
        <v>12684.96</v>
      </c>
      <c r="D17" s="60" t="str">
        <f t="shared" si="0"/>
        <v>   </v>
      </c>
      <c r="E17" s="61">
        <f t="shared" si="1"/>
        <v>12684.96</v>
      </c>
    </row>
    <row r="18" spans="1:5" ht="51">
      <c r="A18" s="17" t="s">
        <v>124</v>
      </c>
      <c r="B18" s="26">
        <f>Лист1!B24+Лист2!B19+Лист3!B17+Лист4!B18+Лист5!B18+Лист6!B18+Лист7!B21+Лист8!B18+Лист9!B18+Лист10!B18</f>
        <v>0</v>
      </c>
      <c r="C18" s="121">
        <f>Лист1!C24+Лист2!C19+Лист3!C17+Лист4!C18+Лист5!C18+Лист6!C18+Лист7!C21+Лист8!C18+Лист9!C18+Лист10!C18</f>
        <v>12684.96</v>
      </c>
      <c r="D18" s="60" t="str">
        <f t="shared" si="0"/>
        <v>   </v>
      </c>
      <c r="E18" s="61">
        <f t="shared" si="1"/>
        <v>12684.96</v>
      </c>
    </row>
    <row r="19" spans="1:5" ht="25.5">
      <c r="A19" s="17" t="s">
        <v>109</v>
      </c>
      <c r="B19" s="26">
        <f>SUM(B20)</f>
        <v>14000</v>
      </c>
      <c r="C19" s="26">
        <f>SUM(C20)</f>
        <v>40811.67</v>
      </c>
      <c r="D19" s="60">
        <f t="shared" si="0"/>
        <v>291.5119285714286</v>
      </c>
      <c r="E19" s="61">
        <f t="shared" si="1"/>
        <v>26811.67</v>
      </c>
    </row>
    <row r="20" spans="1:5" ht="51">
      <c r="A20" s="17" t="s">
        <v>110</v>
      </c>
      <c r="B20" s="26">
        <f>Лист1!B26+Лист2!B15+Лист3!B19+Лист4!B20+Лист5!B19+Лист6!B20+Лист7!B19+Лист8!B20+Лист9!B20+Лист10!B20</f>
        <v>14000</v>
      </c>
      <c r="C20" s="26">
        <f>Лист1!C26+Лист2!C15+Лист3!C19+Лист4!C20+Лист5!C19+Лист6!C20+Лист7!C19+Лист8!C20+Лист9!C20+Лист10!C20</f>
        <v>40811.67</v>
      </c>
      <c r="D20" s="60">
        <f t="shared" si="0"/>
        <v>291.5119285714286</v>
      </c>
      <c r="E20" s="61">
        <f t="shared" si="1"/>
        <v>26811.67</v>
      </c>
    </row>
    <row r="21" spans="1:5" ht="25.5">
      <c r="A21" s="17" t="s">
        <v>44</v>
      </c>
      <c r="B21" s="26">
        <v>0</v>
      </c>
      <c r="C21" s="26">
        <f>Лист2!C23+Лист3!C23+Лист4!C23+Лист5!C24+Лист6!C23+Лист7!C25+Лист8!C24+Лист9!C21+Лист10!C23</f>
        <v>5957</v>
      </c>
      <c r="D21" s="60" t="str">
        <f t="shared" si="0"/>
        <v>   </v>
      </c>
      <c r="E21" s="61">
        <f t="shared" si="1"/>
        <v>5957</v>
      </c>
    </row>
    <row r="22" spans="1:5" ht="12.75">
      <c r="A22" s="17" t="s">
        <v>45</v>
      </c>
      <c r="B22" s="26">
        <f>SUM(B25:B25)</f>
        <v>0</v>
      </c>
      <c r="C22" s="26">
        <f>SUM(C23:C25)</f>
        <v>19504.03</v>
      </c>
      <c r="D22" s="60" t="str">
        <f t="shared" si="0"/>
        <v>   </v>
      </c>
      <c r="E22" s="61">
        <f t="shared" si="1"/>
        <v>19504.03</v>
      </c>
    </row>
    <row r="23" spans="1:5" ht="12.75">
      <c r="A23" s="17" t="s">
        <v>60</v>
      </c>
      <c r="B23" s="26">
        <v>0</v>
      </c>
      <c r="C23" s="26">
        <f>Лист3!C21+Лист7!C23+Лист8!C22</f>
        <v>-6841.61</v>
      </c>
      <c r="D23" s="60"/>
      <c r="E23" s="61">
        <f t="shared" si="1"/>
        <v>-6841.61</v>
      </c>
    </row>
    <row r="24" spans="1:5" ht="25.5">
      <c r="A24" s="17" t="s">
        <v>199</v>
      </c>
      <c r="B24" s="26">
        <v>0</v>
      </c>
      <c r="C24" s="26">
        <f>Лист1!C30+Лист2!C21</f>
        <v>0</v>
      </c>
      <c r="D24" s="60"/>
      <c r="E24" s="61">
        <f t="shared" si="1"/>
        <v>0</v>
      </c>
    </row>
    <row r="25" spans="1:5" ht="25.5">
      <c r="A25" s="17" t="s">
        <v>71</v>
      </c>
      <c r="B25" s="26">
        <v>0</v>
      </c>
      <c r="C25" s="62">
        <f>Лист1!C31+Лист2!C22+Лист3!C22+Лист4!C22+Лист5!C23+Лист6!C22+Лист7!C24+Лист8!C23+Лист9!C23+Лист10!C22</f>
        <v>26345.64</v>
      </c>
      <c r="D25" s="60" t="str">
        <f aca="true" t="shared" si="2" ref="D25:D82">IF(B25=0,"   ",C25/B25*100)</f>
        <v>   </v>
      </c>
      <c r="E25" s="61">
        <f t="shared" si="1"/>
        <v>26345.64</v>
      </c>
    </row>
    <row r="26" spans="1:5" ht="15.75">
      <c r="A26" s="16" t="s">
        <v>11</v>
      </c>
      <c r="B26" s="52">
        <f>SUM(B6,B8,B10,B13,B14,B17,B19,B22,)</f>
        <v>15364100</v>
      </c>
      <c r="C26" s="52">
        <f>SUM(C6,C8,C10,C13,C14,C17,C19,C21,C22,)</f>
        <v>4465142.0600000005</v>
      </c>
      <c r="D26" s="60">
        <f t="shared" si="2"/>
        <v>29.062177804101776</v>
      </c>
      <c r="E26" s="61">
        <f t="shared" si="1"/>
        <v>-10898957.94</v>
      </c>
    </row>
    <row r="27" spans="1:5" ht="25.5">
      <c r="A27" s="18" t="s">
        <v>47</v>
      </c>
      <c r="B27" s="25">
        <f>Лист1!B35+Лист2!B25+Лист3!B25+Лист4!B25+Лист5!B26+Лист6!B25+Лист7!B27+Лист8!B27+Лист9!B26+Лист10!B25</f>
        <v>18529400</v>
      </c>
      <c r="C27" s="25">
        <f>Лист1!C35+Лист2!C25+Лист3!C25+Лист4!C25+Лист5!C26+Лист6!C25+Лист7!C27+Лист8!C27+Лист9!C26+Лист10!C25</f>
        <v>7356150</v>
      </c>
      <c r="D27" s="60">
        <f>IF(B27=0,"   ",C27/B27*100)</f>
        <v>39.69988234913165</v>
      </c>
      <c r="E27" s="61">
        <f t="shared" si="1"/>
        <v>-11173250</v>
      </c>
    </row>
    <row r="28" spans="1:5" ht="38.25">
      <c r="A28" s="18" t="s">
        <v>262</v>
      </c>
      <c r="B28" s="25">
        <f>Лист1!B36+Лист2!B26+Лист3!B26+Лист4!B26+Лист5!B27+Лист6!B26+Лист7!B28+Лист8!B28+Лист9!B27+Лист10!B26</f>
        <v>1550000</v>
      </c>
      <c r="C28" s="25">
        <v>0</v>
      </c>
      <c r="D28" s="60">
        <v>0</v>
      </c>
      <c r="E28" s="61">
        <f>C28-B28</f>
        <v>-1550000</v>
      </c>
    </row>
    <row r="29" spans="1:5" ht="12.75">
      <c r="A29" s="118" t="s">
        <v>226</v>
      </c>
      <c r="B29" s="125">
        <f>B31+B32+B33+B34</f>
        <v>7693301</v>
      </c>
      <c r="C29" s="125">
        <f>C31+C32+C33+C34</f>
        <v>430773</v>
      </c>
      <c r="D29" s="60">
        <f>IF(B29=0,"   ",C29/B29*100)</f>
        <v>5.59932595903891</v>
      </c>
      <c r="E29" s="61">
        <f t="shared" si="1"/>
        <v>-7262528</v>
      </c>
    </row>
    <row r="30" spans="1:5" ht="12.75">
      <c r="A30" s="18" t="s">
        <v>227</v>
      </c>
      <c r="B30" s="25"/>
      <c r="C30" s="25"/>
      <c r="D30" s="60"/>
      <c r="E30" s="61"/>
    </row>
    <row r="31" spans="1:5" ht="38.25">
      <c r="A31" s="17" t="s">
        <v>111</v>
      </c>
      <c r="B31" s="121">
        <f>SUM(Лист1!B39+Лист2!B29+Лист3!B29+Лист4!B30+Лист5!B30+Лист7!B34+Лист8!B32+Лист9!B31+Лист10!B31)</f>
        <v>3766201</v>
      </c>
      <c r="C31" s="121">
        <f>(Лист1!C39+Лист2!C29+Лист3!C29+Лист4!C30+Лист5!C31+Лист7!C34+Лист8!C32+Лист9!C31+Лист10!C31)</f>
        <v>0</v>
      </c>
      <c r="D31" s="60">
        <f>IF(B31=0,"   ",C31/B31*100)</f>
        <v>0</v>
      </c>
      <c r="E31" s="61">
        <f>C31-B31</f>
        <v>-3766201</v>
      </c>
    </row>
    <row r="32" spans="1:5" ht="89.25">
      <c r="A32" s="17" t="s">
        <v>228</v>
      </c>
      <c r="B32" s="26">
        <f>Лист8!B31</f>
        <v>0</v>
      </c>
      <c r="C32" s="26">
        <f>Лист8!C31</f>
        <v>0</v>
      </c>
      <c r="D32" s="60" t="str">
        <f>IF(B32=0,"   ",C32/B32*100)</f>
        <v>   </v>
      </c>
      <c r="E32" s="61">
        <f>C32-B32</f>
        <v>0</v>
      </c>
    </row>
    <row r="33" spans="1:5" ht="63.75">
      <c r="A33" s="17" t="s">
        <v>118</v>
      </c>
      <c r="B33" s="121">
        <f>Лист1!B40+Лист3!B30+Лист4!B29+Лист5!B32+Лист8!B33+Лист9!B30+Лист10!B30</f>
        <v>1880000</v>
      </c>
      <c r="C33" s="121">
        <f>Лист3!C30+Лист4!C29+Лист5!C32+Лист8!C33+Лист9!C30+Лист10!C30</f>
        <v>0</v>
      </c>
      <c r="D33" s="60">
        <f>IF(B33=0,"   ",C33/B33*100)</f>
        <v>0</v>
      </c>
      <c r="E33" s="61">
        <f>C33-B33</f>
        <v>-1880000</v>
      </c>
    </row>
    <row r="34" spans="1:5" ht="25.5">
      <c r="A34" s="17" t="s">
        <v>204</v>
      </c>
      <c r="B34" s="26">
        <f>B36+B37+B38+B39</f>
        <v>2047100</v>
      </c>
      <c r="C34" s="26">
        <f>C36+C37+C38+C39</f>
        <v>430773</v>
      </c>
      <c r="D34" s="60">
        <f>IF(B34=0,"   ",C34/B34*100)</f>
        <v>21.043085340237408</v>
      </c>
      <c r="E34" s="61">
        <f>C34-B34</f>
        <v>-1616327</v>
      </c>
    </row>
    <row r="35" spans="1:5" ht="12.75">
      <c r="A35" s="17" t="s">
        <v>229</v>
      </c>
      <c r="B35" s="26"/>
      <c r="C35" s="26"/>
      <c r="D35" s="60"/>
      <c r="E35" s="61"/>
    </row>
    <row r="36" spans="1:5" s="78" customFormat="1" ht="38.25">
      <c r="A36" s="49" t="s">
        <v>230</v>
      </c>
      <c r="B36" s="32">
        <f>Лист1!B43</f>
        <v>0</v>
      </c>
      <c r="C36" s="32">
        <f>Лист1!C43</f>
        <v>0</v>
      </c>
      <c r="D36" s="85" t="str">
        <f>IF(B36=0,"   ",C36/B36*100)</f>
        <v>   </v>
      </c>
      <c r="E36" s="86">
        <f>C36-B36</f>
        <v>0</v>
      </c>
    </row>
    <row r="37" spans="1:5" s="78" customFormat="1" ht="63.75">
      <c r="A37" s="49" t="s">
        <v>232</v>
      </c>
      <c r="B37" s="32">
        <f>Лист1!B44+Лист2!B32+Лист3!B35+Лист4!B34+Лист5!B35+Лист6!B32+Лист8!B37+Лист9!B34+Лист10!B34</f>
        <v>2047100</v>
      </c>
      <c r="C37" s="32">
        <f>Лист1!C44+Лист2!C32+Лист3!C35+Лист4!C34+Лист5!C35+Лист6!C32+Лист8!C37+Лист9!C34+Лист10!C34</f>
        <v>430773</v>
      </c>
      <c r="D37" s="85">
        <f>IF(B37=0,"   ",C37/B37*100)</f>
        <v>21.043085340237408</v>
      </c>
      <c r="E37" s="86">
        <f>C37-B37</f>
        <v>-1616327</v>
      </c>
    </row>
    <row r="38" spans="1:5" s="78" customFormat="1" ht="25.5">
      <c r="A38" s="49" t="s">
        <v>231</v>
      </c>
      <c r="B38" s="32">
        <v>0</v>
      </c>
      <c r="C38" s="32">
        <v>0</v>
      </c>
      <c r="D38" s="85" t="str">
        <f>IF(B38=0,"   ",C38/B38*100)</f>
        <v>   </v>
      </c>
      <c r="E38" s="86">
        <f>C38-B38</f>
        <v>0</v>
      </c>
    </row>
    <row r="39" spans="1:5" s="78" customFormat="1" ht="51">
      <c r="A39" s="49" t="s">
        <v>233</v>
      </c>
      <c r="B39" s="32">
        <f>Лист3!B31</f>
        <v>0</v>
      </c>
      <c r="C39" s="32">
        <f>Лист3!C31</f>
        <v>0</v>
      </c>
      <c r="D39" s="85" t="str">
        <f>IF(B39=0,"   ",C39/B39*100)</f>
        <v>   </v>
      </c>
      <c r="E39" s="86">
        <f>C39-B39</f>
        <v>0</v>
      </c>
    </row>
    <row r="40" spans="1:5" s="78" customFormat="1" ht="12.75">
      <c r="A40" s="118" t="s">
        <v>27</v>
      </c>
      <c r="B40" s="129">
        <f>B42+B43+B44</f>
        <v>3009600</v>
      </c>
      <c r="C40" s="32">
        <f>C42+C43+C44</f>
        <v>780800</v>
      </c>
      <c r="D40" s="85">
        <f>IF(B40=0,"   ",C40/B40*100)</f>
        <v>25.943646996278574</v>
      </c>
      <c r="E40" s="86">
        <f>C40-B40</f>
        <v>-2228800</v>
      </c>
    </row>
    <row r="41" spans="1:5" ht="12.75">
      <c r="A41" s="18" t="s">
        <v>227</v>
      </c>
      <c r="B41" s="25"/>
      <c r="C41" s="25"/>
      <c r="D41" s="60"/>
      <c r="E41" s="61"/>
    </row>
    <row r="42" spans="1:5" ht="63.75">
      <c r="A42" s="17" t="s">
        <v>72</v>
      </c>
      <c r="B42" s="26">
        <f>Лист1!B37+Лист2!B27+Лист3!B27+Лист4!B27+Лист5!B28+Лист6!B27+Лист7!B29+Лист8!B29+Лист9!B28+Лист10!B27</f>
        <v>780400</v>
      </c>
      <c r="C42" s="26">
        <f>Лист1!C37+Лист2!C27+Лист3!C27+Лист4!C27+Лист5!C28+Лист6!C27+Лист7!C29+Лист8!C29+Лист9!C28+Лист10!C27</f>
        <v>780400</v>
      </c>
      <c r="D42" s="60">
        <f>IF(B42=0,"   ",C42/B42*100)</f>
        <v>100</v>
      </c>
      <c r="E42" s="61">
        <f>C42-B42</f>
        <v>0</v>
      </c>
    </row>
    <row r="43" spans="1:5" ht="51">
      <c r="A43" s="17" t="s">
        <v>73</v>
      </c>
      <c r="B43" s="26">
        <f>Лист1!B38+Лист2!B28+Лист3!B28+Лист4!B28+Лист5!B29+Лист6!B28+Лист7!B31+Лист8!B30+Лист9!B29+Лист10!B28</f>
        <v>1800</v>
      </c>
      <c r="C43" s="26">
        <f>Лист1!C38+Лист2!C28+Лист3!C28+Лист4!C28+Лист5!C29+Лист6!C28+Лист7!C31+Лист8!C30+Лист9!C29+Лист10!C28</f>
        <v>400</v>
      </c>
      <c r="D43" s="60">
        <f>IF(B43=0,"   ",C43/B43*100)</f>
        <v>22.22222222222222</v>
      </c>
      <c r="E43" s="61">
        <f>C43-B43</f>
        <v>-1400</v>
      </c>
    </row>
    <row r="44" spans="1:5" ht="102">
      <c r="A44" s="17" t="s">
        <v>234</v>
      </c>
      <c r="B44" s="121">
        <f>Лист6!B33+Лист7!B30</f>
        <v>2227400</v>
      </c>
      <c r="C44" s="26">
        <f>Лист4!C31+Лист7!C30+Лист10!C29</f>
        <v>0</v>
      </c>
      <c r="D44" s="60">
        <f t="shared" si="2"/>
        <v>0</v>
      </c>
      <c r="E44" s="61">
        <f t="shared" si="1"/>
        <v>-2227400</v>
      </c>
    </row>
    <row r="45" spans="1:5" ht="12.75">
      <c r="A45" s="118" t="s">
        <v>235</v>
      </c>
      <c r="B45" s="121">
        <f>B47+B48</f>
        <v>1060000</v>
      </c>
      <c r="C45" s="26">
        <f>C47+C48</f>
        <v>352600</v>
      </c>
      <c r="D45" s="60">
        <f t="shared" si="2"/>
        <v>33.264150943396224</v>
      </c>
      <c r="E45" s="61">
        <f t="shared" si="1"/>
        <v>-707400</v>
      </c>
    </row>
    <row r="46" spans="1:5" ht="12.75">
      <c r="A46" s="18" t="s">
        <v>227</v>
      </c>
      <c r="B46" s="25"/>
      <c r="C46" s="25"/>
      <c r="D46" s="60"/>
      <c r="E46" s="61"/>
    </row>
    <row r="47" spans="1:5" ht="89.25">
      <c r="A47" s="17" t="s">
        <v>153</v>
      </c>
      <c r="B47" s="121">
        <f>Лист3!B33+Лист5!B36+Лист6!B34+Лист7!B33+Лист8!B34+Лист9!B35+Лист10!B35</f>
        <v>1000000</v>
      </c>
      <c r="C47" s="26">
        <f>Лист3!C33+Лист5!C36+Лист6!C34+Лист7!C33+Лист8!C34+Лист9!C35+Лист10!C35</f>
        <v>352600</v>
      </c>
      <c r="D47" s="60">
        <f>IF(B47=0,"   ",C47/B47*100)</f>
        <v>35.260000000000005</v>
      </c>
      <c r="E47" s="61">
        <f>C47-B47</f>
        <v>-647400</v>
      </c>
    </row>
    <row r="48" spans="1:5" ht="63.75">
      <c r="A48" s="17" t="s">
        <v>177</v>
      </c>
      <c r="B48" s="26">
        <f>Лист1!B41+Лист2!B30+Лист3!B32+Лист4!B32+Лист5!B33+Лист6!B30+Лист7!B35+Лист8!B35+Лист9!B32+Лист10!B32</f>
        <v>60000</v>
      </c>
      <c r="C48" s="26">
        <f>Лист1!C41+Лист2!C30+Лист3!C32+Лист4!C32+Лист5!C33+Лист6!C30+Лист7!C35+Лист8!C35+Лист9!C32+Лист10!C32</f>
        <v>0</v>
      </c>
      <c r="D48" s="60">
        <f>IF(B48=0,"   ",C48/B48*100)</f>
        <v>0</v>
      </c>
      <c r="E48" s="61">
        <f>C48-B48</f>
        <v>-60000</v>
      </c>
    </row>
    <row r="49" spans="1:5" ht="25.5">
      <c r="A49" s="17" t="s">
        <v>125</v>
      </c>
      <c r="B49" s="26">
        <v>0</v>
      </c>
      <c r="C49" s="26">
        <f>Лист8!C26</f>
        <v>-156561.7</v>
      </c>
      <c r="D49" s="60"/>
      <c r="E49" s="61"/>
    </row>
    <row r="50" spans="1:5" ht="12.75">
      <c r="A50" s="31" t="s">
        <v>195</v>
      </c>
      <c r="B50" s="25">
        <f>B27+B28+B29+B40+B45+B49</f>
        <v>31842301</v>
      </c>
      <c r="C50" s="25">
        <f>C27+C29+C40+C45+C49</f>
        <v>8763761.3</v>
      </c>
      <c r="D50" s="60">
        <f t="shared" si="2"/>
        <v>27.522386965690703</v>
      </c>
      <c r="E50" s="61">
        <f aca="true" t="shared" si="3" ref="E50:E79">C50-B50</f>
        <v>-23078539.7</v>
      </c>
    </row>
    <row r="51" spans="1:5" ht="38.25">
      <c r="A51" s="17" t="s">
        <v>48</v>
      </c>
      <c r="B51" s="26">
        <f>Лист1!B45+Лист2!B33+Лист3!B36+Лист4!B35+Лист5!B37+Лист6!B35+Лист7!B37+Лист8!B38+Лист9!B36+Лист10!B36</f>
        <v>0</v>
      </c>
      <c r="C51" s="26">
        <f>Лист1!C45+Лист2!C33+Лист3!C36+Лист4!C35+Лист5!C37+Лист6!C35+Лист7!C37+Лист8!C38+Лист9!C36+Лист10!C36</f>
        <v>0</v>
      </c>
      <c r="D51" s="60" t="str">
        <f t="shared" si="2"/>
        <v>   </v>
      </c>
      <c r="E51" s="61">
        <f t="shared" si="3"/>
        <v>0</v>
      </c>
    </row>
    <row r="52" spans="1:5" ht="18.75" customHeight="1">
      <c r="A52" s="16" t="s">
        <v>14</v>
      </c>
      <c r="B52" s="137">
        <f>B26+B50+B51</f>
        <v>47206401</v>
      </c>
      <c r="C52" s="137">
        <f>C26+C50+C51</f>
        <v>13228903.360000001</v>
      </c>
      <c r="D52" s="60">
        <f t="shared" si="2"/>
        <v>28.0235372317411</v>
      </c>
      <c r="E52" s="61">
        <f t="shared" si="3"/>
        <v>-33977497.64</v>
      </c>
    </row>
    <row r="53" spans="1:5" ht="25.5">
      <c r="A53" s="31" t="s">
        <v>69</v>
      </c>
      <c r="B53" s="26"/>
      <c r="C53" s="26"/>
      <c r="D53" s="60" t="str">
        <f t="shared" si="2"/>
        <v>   </v>
      </c>
      <c r="E53" s="61">
        <f t="shared" si="3"/>
        <v>0</v>
      </c>
    </row>
    <row r="54" spans="1:5" ht="12.75">
      <c r="A54" s="23" t="s">
        <v>15</v>
      </c>
      <c r="B54" s="53"/>
      <c r="C54" s="54"/>
      <c r="D54" s="60" t="str">
        <f t="shared" si="2"/>
        <v>   </v>
      </c>
      <c r="E54" s="61">
        <f t="shared" si="3"/>
        <v>0</v>
      </c>
    </row>
    <row r="55" spans="1:5" ht="12.75">
      <c r="A55" s="17" t="s">
        <v>49</v>
      </c>
      <c r="B55" s="121">
        <f>Лист1!B62+Лист2!B37+Лист3!B39+Лист4!B38+Лист5!B41+Лист6!B38+Лист7!B41+Лист8!B41+Лист9!B39+Лист10!B40</f>
        <v>9005730</v>
      </c>
      <c r="C55" s="121">
        <f>Лист1!C62+Лист2!C37+Лист3!C39+Лист4!C38+Лист5!C41+Лист6!C38+Лист7!C41+Лист8!C41+Лист9!C39+Лист10!C40</f>
        <v>3001930.99</v>
      </c>
      <c r="D55" s="60">
        <f t="shared" si="2"/>
        <v>33.333566407165215</v>
      </c>
      <c r="E55" s="61">
        <f t="shared" si="3"/>
        <v>-6003799.01</v>
      </c>
    </row>
    <row r="56" spans="1:5" ht="25.5" customHeight="1">
      <c r="A56" s="17" t="s">
        <v>50</v>
      </c>
      <c r="B56" s="121">
        <f>Лист1!B63+Лист2!B38+Лист3!B40+Лист4!B39+Лист5!B42+Лист6!B39+Лист7!B42+Лист8!B42+Лист9!B40+Лист10!B41</f>
        <v>8701370</v>
      </c>
      <c r="C56" s="121">
        <f>Лист1!C63+Лист2!C38+Лист3!C40+Лист4!C39+Лист5!C42+Лист6!C39+Лист7!C42+Лист8!C42+Лист9!C40+Лист10!C41</f>
        <v>2973749.42</v>
      </c>
      <c r="D56" s="60">
        <f t="shared" si="2"/>
        <v>34.17564613388466</v>
      </c>
      <c r="E56" s="61">
        <f t="shared" si="3"/>
        <v>-5727620.58</v>
      </c>
    </row>
    <row r="57" spans="1:5" ht="12.75">
      <c r="A57" s="17" t="s">
        <v>264</v>
      </c>
      <c r="B57" s="121">
        <f>Лист1!B64+Лист2!B39+Лист3!B41+Лист4!B40+Лист5!B43+Лист6!B40+Лист7!B43+Лист8!B43+Лист9!B41+Лист10!B42</f>
        <v>5503500</v>
      </c>
      <c r="C57" s="121">
        <f>Лист1!C64+Лист2!C39+Лист3!C41+Лист4!C40+Лист5!C43+Лист6!C40+Лист7!C43+Лист8!C43+Лист9!C41+Лист10!C42</f>
        <v>1859776.26</v>
      </c>
      <c r="D57" s="60">
        <f t="shared" si="2"/>
        <v>33.792609430362496</v>
      </c>
      <c r="E57" s="61">
        <f t="shared" si="3"/>
        <v>-3643723.74</v>
      </c>
    </row>
    <row r="58" spans="1:5" ht="51">
      <c r="A58" s="17" t="s">
        <v>236</v>
      </c>
      <c r="B58" s="121">
        <f>Лист1!B65+Лист2!B40+Лист3!B42+Лист4!B41+Лист5!B44+Лист6!B41+Лист7!B44+Лист8!B44+Лист9!B42+Лист10!B43</f>
        <v>1800</v>
      </c>
      <c r="C58" s="121">
        <f>Лист1!C65+Лист2!C40+Лист3!C42+Лист4!C41+Лист5!C44+Лист6!C41+Лист7!C44+Лист8!C44+Лист9!C42+Лист10!C43</f>
        <v>0</v>
      </c>
      <c r="D58" s="60">
        <f t="shared" si="2"/>
        <v>0</v>
      </c>
      <c r="E58" s="61">
        <f t="shared" si="3"/>
        <v>-1800</v>
      </c>
    </row>
    <row r="59" spans="1:5" ht="12.75">
      <c r="A59" s="17" t="s">
        <v>169</v>
      </c>
      <c r="B59" s="121">
        <f>Лист1!B66+Лист2!B41+Лист3!B43+Лист4!B42+Лист5!B45+Лист6!B42+Лист7!B45+Лист8!B45+Лист9!B43+Лист10!B44</f>
        <v>54500</v>
      </c>
      <c r="C59" s="121">
        <f>Лист1!C66+Лист2!C41+Лист3!C43+Лист4!C42+Лист5!C45+Лист6!C42+Лист7!C45+Лист8!C45+Лист9!C43+Лист10!C44</f>
        <v>0</v>
      </c>
      <c r="D59" s="60">
        <f t="shared" si="2"/>
        <v>0</v>
      </c>
      <c r="E59" s="61">
        <f t="shared" si="3"/>
        <v>-54500</v>
      </c>
    </row>
    <row r="60" spans="1:5" ht="12.75">
      <c r="A60" s="17" t="s">
        <v>74</v>
      </c>
      <c r="B60" s="124">
        <f>B61</f>
        <v>249860</v>
      </c>
      <c r="C60" s="124">
        <f>C61</f>
        <v>28181.57</v>
      </c>
      <c r="D60" s="60">
        <f t="shared" si="2"/>
        <v>11.278944208756904</v>
      </c>
      <c r="E60" s="61">
        <f t="shared" si="3"/>
        <v>-221678.43</v>
      </c>
    </row>
    <row r="61" spans="1:5" ht="38.25">
      <c r="A61" s="17" t="s">
        <v>161</v>
      </c>
      <c r="B61" s="121">
        <f>Лист1!B68+Лист2!B42+Лист3!B45+Лист7!B47+Лист8!B47+Лист9!B45</f>
        <v>249860</v>
      </c>
      <c r="C61" s="121">
        <f>Лист1!C68+Лист2!C42+Лист3!C45+Лист7!C47+Лист8!C47+Лист9!C45</f>
        <v>28181.57</v>
      </c>
      <c r="D61" s="60">
        <f t="shared" si="2"/>
        <v>11.278944208756904</v>
      </c>
      <c r="E61" s="61">
        <f t="shared" si="3"/>
        <v>-221678.43</v>
      </c>
    </row>
    <row r="62" spans="1:5" ht="12.75">
      <c r="A62" s="17" t="s">
        <v>70</v>
      </c>
      <c r="B62" s="124">
        <f>SUM(B63)</f>
        <v>780400</v>
      </c>
      <c r="C62" s="124">
        <f>SUM(C63)</f>
        <v>261930.99000000002</v>
      </c>
      <c r="D62" s="60">
        <f t="shared" si="2"/>
        <v>33.56368400820092</v>
      </c>
      <c r="E62" s="61">
        <f t="shared" si="3"/>
        <v>-518469.01</v>
      </c>
    </row>
    <row r="63" spans="1:5" ht="38.25">
      <c r="A63" s="17" t="s">
        <v>212</v>
      </c>
      <c r="B63" s="121">
        <f>Лист1!B70+Лист2!B44+Лист3!B47+Лист4!B44+Лист5!B47+Лист6!B44+Лист7!B49+Лист8!B49+Лист9!B47+Лист10!B46</f>
        <v>780400</v>
      </c>
      <c r="C63" s="121">
        <f>Лист1!C70+Лист2!C44+Лист3!C47+Лист4!C44+Лист5!C47+Лист6!C44+Лист7!C49+Лист8!C49+Лист9!C47+Лист10!C46</f>
        <v>261930.99000000002</v>
      </c>
      <c r="D63" s="60">
        <f t="shared" si="2"/>
        <v>33.56368400820092</v>
      </c>
      <c r="E63" s="61">
        <f t="shared" si="3"/>
        <v>-518469.01</v>
      </c>
    </row>
    <row r="64" spans="1:5" ht="25.5">
      <c r="A64" s="17" t="s">
        <v>51</v>
      </c>
      <c r="B64" s="121">
        <f>Лист1!B71+Лист2!B45+Лист3!B48+Лист4!B45+Лист5!B48+Лист6!B45+Лист7!B50+Лист8!B50+Лист9!B48+Лист10!B47</f>
        <v>245900</v>
      </c>
      <c r="C64" s="121">
        <f>Лист1!C71+Лист2!C45+Лист3!C48+Лист4!C45+Лист5!C48+Лист6!C45+Лист7!C50+Лист8!C50+Лист9!C48+Лист10!C47</f>
        <v>48787.45</v>
      </c>
      <c r="D64" s="60">
        <f t="shared" si="2"/>
        <v>19.840361935746238</v>
      </c>
      <c r="E64" s="61">
        <f t="shared" si="3"/>
        <v>-197112.55</v>
      </c>
    </row>
    <row r="65" spans="1:5" ht="51">
      <c r="A65" s="17" t="s">
        <v>150</v>
      </c>
      <c r="B65" s="124">
        <f>Лист7!B51</f>
        <v>180500</v>
      </c>
      <c r="C65" s="124">
        <f>Лист7!C51</f>
        <v>48787.45</v>
      </c>
      <c r="D65" s="60">
        <f t="shared" si="2"/>
        <v>27.029058171745152</v>
      </c>
      <c r="E65" s="61">
        <f t="shared" si="3"/>
        <v>-131712.55</v>
      </c>
    </row>
    <row r="66" spans="1:5" ht="25.5">
      <c r="A66" s="17" t="s">
        <v>170</v>
      </c>
      <c r="B66" s="121">
        <f>Лист7!B52</f>
        <v>172500</v>
      </c>
      <c r="C66" s="121">
        <f>Лист7!C52</f>
        <v>48787.45</v>
      </c>
      <c r="D66" s="60">
        <f t="shared" si="2"/>
        <v>28.28257971014493</v>
      </c>
      <c r="E66" s="61">
        <f t="shared" si="3"/>
        <v>-123712.55</v>
      </c>
    </row>
    <row r="67" spans="1:5" ht="12.75">
      <c r="A67" s="123" t="s">
        <v>264</v>
      </c>
      <c r="B67" s="121">
        <f>Лист7!B53</f>
        <v>122000</v>
      </c>
      <c r="C67" s="121">
        <f>Лист7!C53</f>
        <v>31754.91</v>
      </c>
      <c r="D67" s="27">
        <f t="shared" si="2"/>
        <v>26.02861475409836</v>
      </c>
      <c r="E67" s="51">
        <f t="shared" si="3"/>
        <v>-90245.09</v>
      </c>
    </row>
    <row r="68" spans="1:5" ht="25.5">
      <c r="A68" s="17" t="s">
        <v>171</v>
      </c>
      <c r="B68" s="121">
        <f>Лист1!B72+Лист2!B46+Лист3!B49+Лист4!B46+Лист5!B49+Лист6!B46+Лист7!B54+Лист8!B51+Лист9!B49+Лист10!B48</f>
        <v>65400</v>
      </c>
      <c r="C68" s="121">
        <f>Лист1!C72+Лист2!C46+Лист3!C49+Лист4!C46+Лист5!C49+Лист6!C46+Лист7!C54+Лист8!C51+Лист9!C49+Лист10!C48</f>
        <v>0</v>
      </c>
      <c r="D68" s="60">
        <f t="shared" si="2"/>
        <v>0</v>
      </c>
      <c r="E68" s="61">
        <f t="shared" si="3"/>
        <v>-65400</v>
      </c>
    </row>
    <row r="69" spans="1:5" ht="12.75">
      <c r="A69" s="17" t="s">
        <v>52</v>
      </c>
      <c r="B69" s="62">
        <f>B70</f>
        <v>0</v>
      </c>
      <c r="C69" s="62">
        <f>C70</f>
        <v>0</v>
      </c>
      <c r="D69" s="60" t="str">
        <f t="shared" si="2"/>
        <v>   </v>
      </c>
      <c r="E69" s="61">
        <f t="shared" si="3"/>
        <v>0</v>
      </c>
    </row>
    <row r="70" spans="1:5" ht="25.5">
      <c r="A70" s="17" t="s">
        <v>186</v>
      </c>
      <c r="B70" s="26">
        <f>B71+B72+B73</f>
        <v>0</v>
      </c>
      <c r="C70" s="26">
        <f>C71+C72+C73</f>
        <v>0</v>
      </c>
      <c r="D70" s="27" t="str">
        <f t="shared" si="2"/>
        <v>   </v>
      </c>
      <c r="E70" s="51">
        <f t="shared" si="3"/>
        <v>0</v>
      </c>
    </row>
    <row r="71" spans="1:5" ht="12.75">
      <c r="A71" s="17" t="s">
        <v>187</v>
      </c>
      <c r="B71" s="26">
        <f>Лист8!B55</f>
        <v>0</v>
      </c>
      <c r="C71" s="26">
        <f>Лист8!C55</f>
        <v>0</v>
      </c>
      <c r="D71" s="27" t="str">
        <f t="shared" si="2"/>
        <v>   </v>
      </c>
      <c r="E71" s="51">
        <f t="shared" si="3"/>
        <v>0</v>
      </c>
    </row>
    <row r="72" spans="1:5" ht="12.75" customHeight="1">
      <c r="A72" s="17" t="s">
        <v>188</v>
      </c>
      <c r="B72" s="26">
        <f>Лист8!B56</f>
        <v>0</v>
      </c>
      <c r="C72" s="26">
        <f>Лист8!C56</f>
        <v>0</v>
      </c>
      <c r="D72" s="27" t="str">
        <f t="shared" si="2"/>
        <v>   </v>
      </c>
      <c r="E72" s="51">
        <f t="shared" si="3"/>
        <v>0</v>
      </c>
    </row>
    <row r="73" spans="1:5" ht="12.75" customHeight="1">
      <c r="A73" s="17" t="s">
        <v>237</v>
      </c>
      <c r="B73" s="26">
        <f>Лист1!B75</f>
        <v>0</v>
      </c>
      <c r="C73" s="26">
        <f>Лист1!C75</f>
        <v>0</v>
      </c>
      <c r="D73" s="27" t="str">
        <f t="shared" si="2"/>
        <v>   </v>
      </c>
      <c r="E73" s="51">
        <f t="shared" si="3"/>
        <v>0</v>
      </c>
    </row>
    <row r="74" spans="1:5" ht="25.5">
      <c r="A74" s="17" t="s">
        <v>62</v>
      </c>
      <c r="B74" s="26">
        <v>0</v>
      </c>
      <c r="C74" s="26">
        <v>0</v>
      </c>
      <c r="D74" s="60" t="str">
        <f t="shared" si="2"/>
        <v>   </v>
      </c>
      <c r="E74" s="61">
        <f t="shared" si="3"/>
        <v>0</v>
      </c>
    </row>
    <row r="75" spans="1:5" ht="12.75">
      <c r="A75" s="17" t="s">
        <v>192</v>
      </c>
      <c r="B75" s="124">
        <v>0</v>
      </c>
      <c r="C75" s="124">
        <v>0</v>
      </c>
      <c r="D75" s="60" t="str">
        <f t="shared" si="2"/>
        <v>   </v>
      </c>
      <c r="E75" s="61">
        <f t="shared" si="3"/>
        <v>0</v>
      </c>
    </row>
    <row r="76" spans="1:5" ht="25.5">
      <c r="A76" s="17" t="s">
        <v>191</v>
      </c>
      <c r="B76" s="121">
        <v>0</v>
      </c>
      <c r="C76" s="121">
        <v>0</v>
      </c>
      <c r="D76" s="60" t="str">
        <f t="shared" si="2"/>
        <v>   </v>
      </c>
      <c r="E76" s="61">
        <f t="shared" si="3"/>
        <v>0</v>
      </c>
    </row>
    <row r="77" spans="1:5" ht="12.75">
      <c r="A77" s="17" t="s">
        <v>187</v>
      </c>
      <c r="B77" s="121">
        <v>0</v>
      </c>
      <c r="C77" s="121">
        <v>0</v>
      </c>
      <c r="D77" s="60" t="str">
        <f t="shared" si="2"/>
        <v>   </v>
      </c>
      <c r="E77" s="61">
        <f t="shared" si="3"/>
        <v>0</v>
      </c>
    </row>
    <row r="78" spans="1:5" ht="25.5">
      <c r="A78" s="17" t="s">
        <v>188</v>
      </c>
      <c r="B78" s="121">
        <v>0</v>
      </c>
      <c r="C78" s="121">
        <v>0</v>
      </c>
      <c r="D78" s="60" t="str">
        <f t="shared" si="2"/>
        <v>   </v>
      </c>
      <c r="E78" s="61">
        <f t="shared" si="3"/>
        <v>0</v>
      </c>
    </row>
    <row r="79" spans="1:5" ht="25.5">
      <c r="A79" s="17" t="s">
        <v>237</v>
      </c>
      <c r="B79" s="121">
        <v>0</v>
      </c>
      <c r="C79" s="121">
        <v>0</v>
      </c>
      <c r="D79" s="60" t="str">
        <f t="shared" si="2"/>
        <v>   </v>
      </c>
      <c r="E79" s="61">
        <f t="shared" si="3"/>
        <v>0</v>
      </c>
    </row>
    <row r="80" spans="1:5" ht="24">
      <c r="A80" s="44" t="s">
        <v>197</v>
      </c>
      <c r="B80" s="121">
        <v>0</v>
      </c>
      <c r="C80" s="121">
        <v>0</v>
      </c>
      <c r="D80" s="60" t="str">
        <f t="shared" si="2"/>
        <v>   </v>
      </c>
      <c r="E80" s="61">
        <f aca="true" t="shared" si="4" ref="E80:E111">C80-B80</f>
        <v>0</v>
      </c>
    </row>
    <row r="81" spans="1:5" ht="25.5">
      <c r="A81" s="17" t="s">
        <v>16</v>
      </c>
      <c r="B81" s="121">
        <f>SUM(B82,B84,B91,)</f>
        <v>13652977.21</v>
      </c>
      <c r="C81" s="121">
        <f>SUM(C82,C84,C91,)</f>
        <v>4276783.14</v>
      </c>
      <c r="D81" s="60">
        <f t="shared" si="2"/>
        <v>31.324912319252302</v>
      </c>
      <c r="E81" s="61">
        <f t="shared" si="4"/>
        <v>-9376194.07</v>
      </c>
    </row>
    <row r="82" spans="1:5" ht="12.75">
      <c r="A82" s="17" t="s">
        <v>17</v>
      </c>
      <c r="B82" s="121">
        <f>Лист7!B59+Лист9!B52</f>
        <v>935830</v>
      </c>
      <c r="C82" s="121">
        <f>Лист7!C59+Лист9!C52</f>
        <v>382909</v>
      </c>
      <c r="D82" s="60">
        <f t="shared" si="2"/>
        <v>40.91651261447058</v>
      </c>
      <c r="E82" s="61">
        <f t="shared" si="4"/>
        <v>-552921</v>
      </c>
    </row>
    <row r="83" spans="1:5" ht="12.75">
      <c r="A83" s="17" t="s">
        <v>157</v>
      </c>
      <c r="B83" s="121">
        <f>Лист7!B60+Лист9!B53</f>
        <v>583200</v>
      </c>
      <c r="C83" s="121">
        <f>Лист7!C60+Лист9!C53</f>
        <v>30279</v>
      </c>
      <c r="D83" s="60">
        <v>0</v>
      </c>
      <c r="E83" s="61">
        <f t="shared" si="4"/>
        <v>-552921</v>
      </c>
    </row>
    <row r="84" spans="1:5" ht="12.75">
      <c r="A84" s="17" t="s">
        <v>101</v>
      </c>
      <c r="B84" s="121">
        <f>SUM(B86:B89)</f>
        <v>2250347.21</v>
      </c>
      <c r="C84" s="121">
        <f>SUM(C86:C89)</f>
        <v>183483.79</v>
      </c>
      <c r="D84" s="60">
        <f aca="true" t="shared" si="5" ref="D84:D139">IF(B84=0,"   ",C84/B84*100)</f>
        <v>8.153576887363972</v>
      </c>
      <c r="E84" s="61">
        <f t="shared" si="4"/>
        <v>-2066863.42</v>
      </c>
    </row>
    <row r="85" spans="1:5" ht="12.75">
      <c r="A85" s="17" t="s">
        <v>102</v>
      </c>
      <c r="B85" s="121">
        <f>Лист7!B65</f>
        <v>31707.21</v>
      </c>
      <c r="C85" s="121">
        <f>Лист7!C65</f>
        <v>31707.21</v>
      </c>
      <c r="D85" s="60">
        <f t="shared" si="5"/>
        <v>100</v>
      </c>
      <c r="E85" s="61">
        <f t="shared" si="4"/>
        <v>0</v>
      </c>
    </row>
    <row r="86" spans="1:5" ht="78" customHeight="1">
      <c r="A86" s="17" t="s">
        <v>270</v>
      </c>
      <c r="B86" s="121">
        <f>Лист7!B66</f>
        <v>500000</v>
      </c>
      <c r="C86" s="121">
        <v>0</v>
      </c>
      <c r="D86" s="60">
        <v>0</v>
      </c>
      <c r="E86" s="61">
        <f>C86-B86</f>
        <v>-500000</v>
      </c>
    </row>
    <row r="87" spans="1:5" ht="76.5" customHeight="1">
      <c r="A87" s="17" t="s">
        <v>269</v>
      </c>
      <c r="B87" s="121">
        <f>Лист7!B67</f>
        <v>1000000</v>
      </c>
      <c r="C87" s="121">
        <v>0</v>
      </c>
      <c r="D87" s="60">
        <v>0</v>
      </c>
      <c r="E87" s="61">
        <f>C87-B87</f>
        <v>-1000000</v>
      </c>
    </row>
    <row r="88" spans="1:5" ht="25.5">
      <c r="A88" s="17" t="s">
        <v>103</v>
      </c>
      <c r="B88" s="121">
        <f>Лист3!B53+Лист7!B64</f>
        <v>750347.21</v>
      </c>
      <c r="C88" s="121">
        <f>Лист3!C53+Лист7!C64</f>
        <v>183483.79</v>
      </c>
      <c r="D88" s="60">
        <f t="shared" si="5"/>
        <v>24.453184812934804</v>
      </c>
      <c r="E88" s="61">
        <f t="shared" si="4"/>
        <v>-566863.4199999999</v>
      </c>
    </row>
    <row r="89" spans="1:5" ht="25.5">
      <c r="A89" s="49" t="s">
        <v>194</v>
      </c>
      <c r="B89" s="121">
        <f>Лист1!B81</f>
        <v>0</v>
      </c>
      <c r="C89" s="121">
        <f>Лист1!C81</f>
        <v>0</v>
      </c>
      <c r="D89" s="60" t="str">
        <f t="shared" si="5"/>
        <v>   </v>
      </c>
      <c r="E89" s="61">
        <f t="shared" si="4"/>
        <v>0</v>
      </c>
    </row>
    <row r="90" spans="1:5" ht="12.75">
      <c r="A90" s="49" t="s">
        <v>211</v>
      </c>
      <c r="B90" s="121">
        <f>Лист1!B82</f>
        <v>0</v>
      </c>
      <c r="C90" s="121">
        <f>Лист1!C82</f>
        <v>0</v>
      </c>
      <c r="D90" s="60" t="str">
        <f t="shared" si="5"/>
        <v>   </v>
      </c>
      <c r="E90" s="61">
        <f t="shared" si="4"/>
        <v>0</v>
      </c>
    </row>
    <row r="91" spans="1:5" ht="12.75">
      <c r="A91" s="17" t="s">
        <v>104</v>
      </c>
      <c r="B91" s="121">
        <f>B92+B93+B94+B95+B96+B97+B98+B99+B100</f>
        <v>10466800</v>
      </c>
      <c r="C91" s="121">
        <f>C92+C93+C94+C95+C96+C97+C98+C99+C100</f>
        <v>3710390.3499999996</v>
      </c>
      <c r="D91" s="60">
        <f t="shared" si="5"/>
        <v>35.449137749837575</v>
      </c>
      <c r="E91" s="61">
        <f t="shared" si="4"/>
        <v>-6756409.65</v>
      </c>
    </row>
    <row r="92" spans="1:5" ht="12.75">
      <c r="A92" s="17" t="s">
        <v>166</v>
      </c>
      <c r="B92" s="121">
        <f>Лист6!B57</f>
        <v>0</v>
      </c>
      <c r="C92" s="121">
        <f>Лист6!C57</f>
        <v>0</v>
      </c>
      <c r="D92" s="60" t="str">
        <f t="shared" si="5"/>
        <v>   </v>
      </c>
      <c r="E92" s="61">
        <f t="shared" si="4"/>
        <v>0</v>
      </c>
    </row>
    <row r="93" spans="1:5" ht="12.75">
      <c r="A93" s="17" t="s">
        <v>241</v>
      </c>
      <c r="B93" s="121">
        <f>Лист6!B58</f>
        <v>0</v>
      </c>
      <c r="C93" s="121">
        <f>Лист6!C58</f>
        <v>0</v>
      </c>
      <c r="D93" s="60" t="str">
        <f t="shared" si="5"/>
        <v>   </v>
      </c>
      <c r="E93" s="61">
        <f t="shared" si="4"/>
        <v>0</v>
      </c>
    </row>
    <row r="94" spans="1:5" ht="12.75">
      <c r="A94" s="17" t="s">
        <v>89</v>
      </c>
      <c r="B94" s="121">
        <f>Лист1!B84+Лист2!B54+Лист3!B55+Лист4!B51+Лист5!B56+Лист6!B53+Лист7!B69+Лист8!B60+Лист9!B56+Лист10!B54</f>
        <v>3696200</v>
      </c>
      <c r="C94" s="121">
        <f>Лист1!C84+Лист2!C54+Лист3!C55+Лист4!C51+Лист5!C56+Лист6!C53+Лист7!C69+Лист8!C60+Лист9!C56+Лист10!C54</f>
        <v>1533968.45</v>
      </c>
      <c r="D94" s="60">
        <f t="shared" si="5"/>
        <v>41.501229641253175</v>
      </c>
      <c r="E94" s="61">
        <f t="shared" si="4"/>
        <v>-2162231.55</v>
      </c>
    </row>
    <row r="95" spans="1:5" ht="25.5">
      <c r="A95" s="17" t="s">
        <v>127</v>
      </c>
      <c r="B95" s="121">
        <f>Лист1!B85+Лист2!B55+Лист3!B56+Лист4!B52+Лист5!B57+Лист6!B54+Лист8!B61+Лист9!B57+Лист10!B55</f>
        <v>2047100</v>
      </c>
      <c r="C95" s="121">
        <f>Лист1!C85+Лист2!C55+Лист3!C56+Лист4!C52+Лист5!C57+Лист6!C54+Лист8!C61+Лист9!C57+Лист10!C55</f>
        <v>340079</v>
      </c>
      <c r="D95" s="60">
        <f t="shared" si="5"/>
        <v>16.61272043378438</v>
      </c>
      <c r="E95" s="61">
        <f t="shared" si="4"/>
        <v>-1707021</v>
      </c>
    </row>
    <row r="96" spans="1:5" ht="25.5">
      <c r="A96" s="17" t="s">
        <v>128</v>
      </c>
      <c r="B96" s="121">
        <f>Лист1!B86+Лист2!B56+Лист3!B57+Лист4!B53+Лист5!B58+Лист6!B55+Лист7!B70+Лист8!B62+Лист9!B58+Лист10!B56</f>
        <v>2388000</v>
      </c>
      <c r="C96" s="121">
        <f>Лист1!C86+Лист2!C56+Лист3!C57+Лист4!C53+Лист5!C58+Лист6!C55+Лист7!C70+Лист8!C62+Лист9!C58+Лист10!C56</f>
        <v>1218316.4</v>
      </c>
      <c r="D96" s="60">
        <f t="shared" si="5"/>
        <v>51.01827470686767</v>
      </c>
      <c r="E96" s="61">
        <f t="shared" si="4"/>
        <v>-1169683.6</v>
      </c>
    </row>
    <row r="97" spans="1:5" ht="12.75">
      <c r="A97" s="17" t="s">
        <v>105</v>
      </c>
      <c r="B97" s="121">
        <f>Лист7!B71</f>
        <v>300000</v>
      </c>
      <c r="C97" s="121">
        <f>Лист7!C71</f>
        <v>9000</v>
      </c>
      <c r="D97" s="60">
        <f t="shared" si="5"/>
        <v>3</v>
      </c>
      <c r="E97" s="61">
        <f t="shared" si="4"/>
        <v>-291000</v>
      </c>
    </row>
    <row r="98" spans="1:5" ht="25.5">
      <c r="A98" s="17" t="s">
        <v>106</v>
      </c>
      <c r="B98" s="121">
        <f>Лист7!B72</f>
        <v>100000</v>
      </c>
      <c r="C98" s="121">
        <f>Лист7!C72</f>
        <v>21231</v>
      </c>
      <c r="D98" s="60">
        <f t="shared" si="5"/>
        <v>21.231</v>
      </c>
      <c r="E98" s="61">
        <f t="shared" si="4"/>
        <v>-78769</v>
      </c>
    </row>
    <row r="99" spans="1:5" ht="25.5">
      <c r="A99" s="17" t="s">
        <v>107</v>
      </c>
      <c r="B99" s="121">
        <f>Лист1!B87+Лист3!B58+Лист4!B54+Лист5!B60+Лист7!B73+Лист8!B63+Лист9!B59+Лист10!B57</f>
        <v>1895500</v>
      </c>
      <c r="C99" s="121">
        <f>Лист1!C87+Лист3!C58+Лист4!C54+Лист5!C60+Лист7!C73+Лист8!C63+Лист9!C59+Лист10!C57</f>
        <v>586334.12</v>
      </c>
      <c r="D99" s="60">
        <f t="shared" si="5"/>
        <v>30.932952782906888</v>
      </c>
      <c r="E99" s="61">
        <f t="shared" si="4"/>
        <v>-1309165.88</v>
      </c>
    </row>
    <row r="100" spans="1:5" ht="38.25">
      <c r="A100" s="17" t="s">
        <v>318</v>
      </c>
      <c r="B100" s="121">
        <f>Лист7!B74</f>
        <v>40000</v>
      </c>
      <c r="C100" s="121">
        <f>Лист7!C74</f>
        <v>1461.38</v>
      </c>
      <c r="D100" s="60"/>
      <c r="E100" s="61"/>
    </row>
    <row r="101" spans="1:5" ht="15">
      <c r="A101" s="19" t="s">
        <v>25</v>
      </c>
      <c r="B101" s="32">
        <f>Лист1!B88+Лист2!B58+Лист3!B59+Лист4!B55+Лист5!B61+Лист6!B59+Лист7!B75+Лист8!B64+Лист9!B60+Лист10!B59</f>
        <v>125000</v>
      </c>
      <c r="C101" s="32">
        <f>Лист1!C88+Лист2!C58+Лист3!C59+Лист4!C55+Лист5!C61+Лист6!C59+Лист7!C75+Лист8!C64+Лист9!C60+Лист10!C59</f>
        <v>10550</v>
      </c>
      <c r="D101" s="60">
        <f t="shared" si="5"/>
        <v>8.44</v>
      </c>
      <c r="E101" s="61">
        <f t="shared" si="4"/>
        <v>-114450</v>
      </c>
    </row>
    <row r="102" spans="1:5" ht="25.5">
      <c r="A102" s="17" t="s">
        <v>55</v>
      </c>
      <c r="B102" s="25">
        <f>SUM(B103,)</f>
        <v>16499600</v>
      </c>
      <c r="C102" s="25">
        <f>SUM(C103,)</f>
        <v>5640626.47</v>
      </c>
      <c r="D102" s="60">
        <f t="shared" si="5"/>
        <v>34.186443731969256</v>
      </c>
      <c r="E102" s="61">
        <f t="shared" si="4"/>
        <v>-10858973.530000001</v>
      </c>
    </row>
    <row r="103" spans="1:5" ht="12.75">
      <c r="A103" s="17" t="s">
        <v>56</v>
      </c>
      <c r="B103" s="26">
        <f>Лист1!B90+Лист2!B60+Лист3!B61+Лист4!B57+Лист5!B63+Лист6!B61+Лист7!B77+Лист8!B66+Лист9!B62+Лист10!B61</f>
        <v>16499600</v>
      </c>
      <c r="C103" s="26">
        <f>Лист1!C90+Лист2!C60+Лист3!C61+Лист4!C57+Лист5!C63+Лист6!C61+Лист7!C77+Лист8!C66+Лист9!C62+Лист10!C61</f>
        <v>5640626.47</v>
      </c>
      <c r="D103" s="60">
        <f t="shared" si="5"/>
        <v>34.186443731969256</v>
      </c>
      <c r="E103" s="61">
        <f t="shared" si="4"/>
        <v>-10858973.530000001</v>
      </c>
    </row>
    <row r="104" spans="1:5" ht="12.75">
      <c r="A104" s="17" t="s">
        <v>264</v>
      </c>
      <c r="B104" s="121">
        <f>Лист1!B91+Лист2!B61+Лист3!B62+Лист4!B58+Лист5!B64+Лист6!B62+Лист7!B78+Лист8!B67+Лист9!B63+Лист10!B62</f>
        <v>8068800</v>
      </c>
      <c r="C104" s="121">
        <f>Лист1!C91+Лист2!C61+Лист3!C62+Лист4!C58+Лист5!C64+Лист6!C62+Лист7!C78+Лист8!C67+Лист9!C63+Лист10!C62</f>
        <v>2761840.3600000003</v>
      </c>
      <c r="D104" s="60">
        <f t="shared" si="5"/>
        <v>34.22863821138212</v>
      </c>
      <c r="E104" s="61">
        <f t="shared" si="4"/>
        <v>-5306959.64</v>
      </c>
    </row>
    <row r="105" spans="1:5" ht="38.25">
      <c r="A105" s="17" t="s">
        <v>205</v>
      </c>
      <c r="B105" s="26">
        <f>B106+B107+B108</f>
        <v>52500</v>
      </c>
      <c r="C105" s="26">
        <f>C106+C107+C108</f>
        <v>52500</v>
      </c>
      <c r="D105" s="27">
        <f t="shared" si="5"/>
        <v>100</v>
      </c>
      <c r="E105" s="51">
        <f t="shared" si="4"/>
        <v>0</v>
      </c>
    </row>
    <row r="106" spans="1:5" ht="12.75">
      <c r="A106" s="17" t="s">
        <v>206</v>
      </c>
      <c r="B106" s="26">
        <f>Лист3!B64</f>
        <v>52500</v>
      </c>
      <c r="C106" s="26">
        <f>Лист3!C64</f>
        <v>52500</v>
      </c>
      <c r="D106" s="27">
        <f t="shared" si="5"/>
        <v>100</v>
      </c>
      <c r="E106" s="51">
        <f t="shared" si="4"/>
        <v>0</v>
      </c>
    </row>
    <row r="107" spans="1:5" ht="13.5" customHeight="1">
      <c r="A107" s="17" t="s">
        <v>238</v>
      </c>
      <c r="B107" s="26">
        <f>Лист3!B65</f>
        <v>0</v>
      </c>
      <c r="C107" s="26">
        <f>Лист3!C65</f>
        <v>0</v>
      </c>
      <c r="D107" s="27" t="str">
        <f t="shared" si="5"/>
        <v>   </v>
      </c>
      <c r="E107" s="51">
        <f t="shared" si="4"/>
        <v>0</v>
      </c>
    </row>
    <row r="108" spans="1:5" ht="12.75">
      <c r="A108" s="17" t="s">
        <v>207</v>
      </c>
      <c r="B108" s="121">
        <f>Лист3!B66</f>
        <v>0</v>
      </c>
      <c r="C108" s="121">
        <f>Лист3!C66</f>
        <v>0</v>
      </c>
      <c r="D108" s="27" t="str">
        <f t="shared" si="5"/>
        <v>   </v>
      </c>
      <c r="E108" s="51">
        <f t="shared" si="4"/>
        <v>0</v>
      </c>
    </row>
    <row r="109" spans="1:5" ht="25.5">
      <c r="A109" s="17" t="s">
        <v>213</v>
      </c>
      <c r="B109" s="121">
        <f>Лист1!B92+Лист2!B62+Лист3!B67+Лист4!B59+Лист5!B65+Лист6!B63+Лист7!B79+Лист8!B68+Лист9!B64+Лист10!B63</f>
        <v>60000</v>
      </c>
      <c r="C109" s="121">
        <f>Лист1!C92+Лист2!C62+Лист3!C67+Лист4!C59+Лист5!C65+Лист6!C63+Лист7!C79+Лист8!C68+Лист9!C64+Лист10!C63</f>
        <v>0</v>
      </c>
      <c r="D109" s="27">
        <f t="shared" si="5"/>
        <v>0</v>
      </c>
      <c r="E109" s="51">
        <f t="shared" si="4"/>
        <v>-60000</v>
      </c>
    </row>
    <row r="110" spans="1:5" ht="12.75">
      <c r="A110" s="17" t="s">
        <v>240</v>
      </c>
      <c r="B110" s="26">
        <f>Лист10!B64</f>
        <v>0</v>
      </c>
      <c r="C110" s="26">
        <f>Лист10!C64</f>
        <v>0</v>
      </c>
      <c r="D110" s="27" t="str">
        <f t="shared" si="5"/>
        <v>   </v>
      </c>
      <c r="E110" s="51">
        <f t="shared" si="4"/>
        <v>0</v>
      </c>
    </row>
    <row r="111" spans="1:5" ht="12.75">
      <c r="A111" s="17" t="s">
        <v>158</v>
      </c>
      <c r="B111" s="121">
        <f>SUM(B114,B115,B116,B123,B132)</f>
        <v>9065093.79</v>
      </c>
      <c r="C111" s="121">
        <f>SUM(C114,C115,C116,C123,C132)</f>
        <v>5150</v>
      </c>
      <c r="D111" s="60">
        <f t="shared" si="5"/>
        <v>0.05681132616279308</v>
      </c>
      <c r="E111" s="61">
        <f t="shared" si="4"/>
        <v>-9059943.79</v>
      </c>
    </row>
    <row r="112" spans="1:5" ht="38.25">
      <c r="A112" s="17" t="s">
        <v>198</v>
      </c>
      <c r="B112" s="26"/>
      <c r="C112" s="26"/>
      <c r="D112" s="60" t="str">
        <f t="shared" si="5"/>
        <v>   </v>
      </c>
      <c r="E112" s="61"/>
    </row>
    <row r="113" spans="1:5" ht="38.25">
      <c r="A113" s="17" t="s">
        <v>202</v>
      </c>
      <c r="B113" s="26"/>
      <c r="C113" s="26"/>
      <c r="D113" s="60" t="str">
        <f t="shared" si="5"/>
        <v>   </v>
      </c>
      <c r="E113" s="61"/>
    </row>
    <row r="114" spans="1:5" ht="25.5">
      <c r="A114" s="126" t="s">
        <v>180</v>
      </c>
      <c r="B114" s="127">
        <f>Лист7!B84</f>
        <v>168292.79</v>
      </c>
      <c r="C114" s="127">
        <f>Лист7!C84</f>
        <v>5150</v>
      </c>
      <c r="D114" s="60">
        <f t="shared" si="5"/>
        <v>3.060142980575698</v>
      </c>
      <c r="E114" s="61">
        <f aca="true" t="shared" si="6" ref="E114:E139">C114-B114</f>
        <v>-163142.79</v>
      </c>
    </row>
    <row r="115" spans="1:5" ht="33.75" customHeight="1">
      <c r="A115" s="126" t="s">
        <v>119</v>
      </c>
      <c r="B115" s="127">
        <f>Лист6!B73+Лист7!B85</f>
        <v>2227400</v>
      </c>
      <c r="C115" s="127">
        <f>Лист6!C73+Лист7!C85</f>
        <v>0</v>
      </c>
      <c r="D115" s="60">
        <f t="shared" si="5"/>
        <v>0</v>
      </c>
      <c r="E115" s="61">
        <f t="shared" si="6"/>
        <v>-2227400</v>
      </c>
    </row>
    <row r="116" spans="1:5" ht="28.5" customHeight="1">
      <c r="A116" s="126" t="s">
        <v>298</v>
      </c>
      <c r="B116" s="127">
        <f>SUM(B117,B120)</f>
        <v>480000</v>
      </c>
      <c r="C116" s="127">
        <f>SUM(C117,C120)</f>
        <v>0</v>
      </c>
      <c r="D116" s="60">
        <f t="shared" si="5"/>
        <v>0</v>
      </c>
      <c r="E116" s="61">
        <f t="shared" si="6"/>
        <v>-480000</v>
      </c>
    </row>
    <row r="117" spans="1:5" ht="38.25" customHeight="1">
      <c r="A117" s="135" t="s">
        <v>284</v>
      </c>
      <c r="B117" s="129">
        <f>SUM(B118:B119)</f>
        <v>400000</v>
      </c>
      <c r="C117" s="129">
        <f>SUM(C118:C119)</f>
        <v>0</v>
      </c>
      <c r="D117" s="60">
        <f t="shared" si="5"/>
        <v>0</v>
      </c>
      <c r="E117" s="61">
        <f t="shared" si="6"/>
        <v>-400000</v>
      </c>
    </row>
    <row r="118" spans="1:5" ht="15.75" customHeight="1">
      <c r="A118" s="135" t="s">
        <v>293</v>
      </c>
      <c r="B118" s="129">
        <f>SUM(Лист1!B108,Лист3!B83,Лист4!B75,Лист8!B80,Лист9!B86,Лист10!B80)</f>
        <v>400000</v>
      </c>
      <c r="C118" s="129">
        <f>SUM(Лист1!C108,Лист3!C83,Лист4!C75,Лист8!C80,Лист9!C86,Лист10!C80)</f>
        <v>0</v>
      </c>
      <c r="D118" s="60">
        <f t="shared" si="5"/>
        <v>0</v>
      </c>
      <c r="E118" s="61">
        <f t="shared" si="6"/>
        <v>-400000</v>
      </c>
    </row>
    <row r="119" spans="1:5" ht="17.25" customHeight="1">
      <c r="A119" s="135" t="s">
        <v>294</v>
      </c>
      <c r="B119" s="129">
        <f>SUM(Лист1!B109,Лист3!B84,Лист4!B76,Лист8!B81,Лист9!B87,Лист10!B81)</f>
        <v>0</v>
      </c>
      <c r="C119" s="129">
        <f>SUM(Лист1!C109,Лист3!C84,Лист4!C76,Лист8!C81,Лист9!C87,Лист10!C81)</f>
        <v>0</v>
      </c>
      <c r="D119" s="60" t="str">
        <f t="shared" si="5"/>
        <v>   </v>
      </c>
      <c r="E119" s="61">
        <f t="shared" si="6"/>
        <v>0</v>
      </c>
    </row>
    <row r="120" spans="1:5" ht="38.25" customHeight="1">
      <c r="A120" s="135" t="s">
        <v>283</v>
      </c>
      <c r="B120" s="129">
        <f>SUM(B121:B122)</f>
        <v>80000</v>
      </c>
      <c r="C120" s="129">
        <f>SUM(C121:C122)</f>
        <v>0</v>
      </c>
      <c r="D120" s="60">
        <f t="shared" si="5"/>
        <v>0</v>
      </c>
      <c r="E120" s="61">
        <f t="shared" si="6"/>
        <v>-80000</v>
      </c>
    </row>
    <row r="121" spans="1:5" ht="15" customHeight="1">
      <c r="A121" s="135" t="s">
        <v>297</v>
      </c>
      <c r="B121" s="129">
        <f>Лист3!B86+Лист4!B78</f>
        <v>80000</v>
      </c>
      <c r="C121" s="129">
        <f>Лист3!C86+Лист4!C78</f>
        <v>0</v>
      </c>
      <c r="D121" s="60">
        <f t="shared" si="5"/>
        <v>0</v>
      </c>
      <c r="E121" s="61">
        <f t="shared" si="6"/>
        <v>-80000</v>
      </c>
    </row>
    <row r="122" spans="1:5" ht="13.5" customHeight="1">
      <c r="A122" s="135" t="s">
        <v>296</v>
      </c>
      <c r="B122" s="129">
        <f>SUM(Лист1!B112,Лист3!B87,Лист4!B79,Лист8!B84,Лист9!B90,Лист10!B84)</f>
        <v>0</v>
      </c>
      <c r="C122" s="129">
        <f>SUM(Лист1!C112,Лист3!C87,Лист4!C79,Лист8!C84,Лист9!C90,Лист10!C84)</f>
        <v>0</v>
      </c>
      <c r="D122" s="60" t="str">
        <f t="shared" si="5"/>
        <v>   </v>
      </c>
      <c r="E122" s="61">
        <f t="shared" si="6"/>
        <v>0</v>
      </c>
    </row>
    <row r="123" spans="1:5" ht="33" customHeight="1">
      <c r="A123" s="126" t="s">
        <v>299</v>
      </c>
      <c r="B123" s="133">
        <f>SUM(B124,B128)</f>
        <v>2095400</v>
      </c>
      <c r="C123" s="133">
        <f>SUM(C124,C128)</f>
        <v>0</v>
      </c>
      <c r="D123" s="60">
        <f>IF(B125=0,"   ",C123/B125*100)</f>
        <v>0</v>
      </c>
      <c r="E123" s="61">
        <f t="shared" si="6"/>
        <v>-2095400</v>
      </c>
    </row>
    <row r="124" spans="1:5" ht="43.5" customHeight="1">
      <c r="A124" s="17" t="s">
        <v>284</v>
      </c>
      <c r="B124" s="136">
        <f>SUM(B125:B127)</f>
        <v>1625400</v>
      </c>
      <c r="C124" s="136">
        <f>SUM(C125:C127)</f>
        <v>0</v>
      </c>
      <c r="D124" s="60"/>
      <c r="E124" s="61">
        <f t="shared" si="6"/>
        <v>-1625400</v>
      </c>
    </row>
    <row r="125" spans="1:5" ht="16.5" customHeight="1">
      <c r="A125" s="49" t="s">
        <v>292</v>
      </c>
      <c r="B125" s="121">
        <f>SUM(Лист1!B99,Лист2!B69,Лист3!B74,Лист4!B66,Лист5!B72,Лист6!B70,Лист8!B75,Лист9!B75,Лист10!B71)</f>
        <v>930000</v>
      </c>
      <c r="C125" s="121">
        <f>SUM(Лист1!C99,Лист2!C69,Лист3!C74,Лист4!C66,Лист5!C72,Лист6!C70,Лист8!C75,Лист9!C75,Лист10!C71)</f>
        <v>0</v>
      </c>
      <c r="D125" s="60" t="str">
        <f>IF(B126=0,"   ",C125/B126*100)</f>
        <v>   </v>
      </c>
      <c r="E125" s="61">
        <f t="shared" si="6"/>
        <v>-930000</v>
      </c>
    </row>
    <row r="126" spans="1:5" ht="17.25" customHeight="1">
      <c r="A126" s="49" t="s">
        <v>293</v>
      </c>
      <c r="B126" s="129">
        <f>SUM(Лист1!B100,Лист2!B70,Лист3!B75,Лист4!B67,Лист5!B73,Лист6!B71,Лист8!B76,Лист9!B78,Лист10!B72)</f>
        <v>0</v>
      </c>
      <c r="C126" s="129">
        <f>SUM(Лист1!C100,Лист2!C70,Лист3!C75,Лист4!C67,Лист5!C73,Лист6!C71,Лист8!C76,Лист9!C78,Лист10!C72)</f>
        <v>0</v>
      </c>
      <c r="D126" s="60" t="str">
        <f t="shared" si="5"/>
        <v>   </v>
      </c>
      <c r="E126" s="61">
        <f t="shared" si="6"/>
        <v>0</v>
      </c>
    </row>
    <row r="127" spans="1:5" ht="18" customHeight="1">
      <c r="A127" s="49" t="s">
        <v>294</v>
      </c>
      <c r="B127" s="129">
        <f>SUM(Лист1!B101,Лист2!B71,Лист3!B76,Лист4!B68,Лист5!B74,Лист6!B72,Лист8!B77,Лист9!B77,Лист10!B73)</f>
        <v>695400</v>
      </c>
      <c r="C127" s="129">
        <f>SUM(Лист1!C101,Лист2!C71,Лист3!C76,Лист4!C68,Лист5!C74,Лист6!C72,Лист8!C77,Лист9!C77,Лист10!C73)</f>
        <v>0</v>
      </c>
      <c r="D127" s="60">
        <f t="shared" si="5"/>
        <v>0</v>
      </c>
      <c r="E127" s="61">
        <f t="shared" si="6"/>
        <v>-695400</v>
      </c>
    </row>
    <row r="128" spans="1:5" ht="40.5" customHeight="1">
      <c r="A128" s="17" t="s">
        <v>283</v>
      </c>
      <c r="B128" s="129">
        <f>SUM(B129:B131)</f>
        <v>470000</v>
      </c>
      <c r="C128" s="129">
        <f>SUM(C129:C131)</f>
        <v>0</v>
      </c>
      <c r="D128" s="60">
        <f t="shared" si="5"/>
        <v>0</v>
      </c>
      <c r="E128" s="61">
        <f t="shared" si="6"/>
        <v>-470000</v>
      </c>
    </row>
    <row r="129" spans="1:5" ht="18" customHeight="1">
      <c r="A129" s="49" t="s">
        <v>292</v>
      </c>
      <c r="B129" s="129">
        <f>SUM(Лист1!B103,Лист3!B78,Лист4!B70,Лист5!B76,Лист9!B81,Лист10!B75)</f>
        <v>470000</v>
      </c>
      <c r="C129" s="129">
        <f>SUM(Лист1!C103,Лист3!C78,Лист4!C70,Лист5!C76,Лист9!C81,Лист10!C75)</f>
        <v>0</v>
      </c>
      <c r="D129" s="60">
        <f t="shared" si="5"/>
        <v>0</v>
      </c>
      <c r="E129" s="61">
        <f t="shared" si="6"/>
        <v>-470000</v>
      </c>
    </row>
    <row r="130" spans="1:5" ht="18" customHeight="1">
      <c r="A130" s="49" t="s">
        <v>293</v>
      </c>
      <c r="B130" s="121">
        <f>SUM(Лист1!B104,Лист3!B79,Лист4!B71,Лист5!B77,Лист9!B82,Лист10!B76)</f>
        <v>0</v>
      </c>
      <c r="C130" s="121">
        <f>SUM(Лист1!C104,Лист3!C79,Лист4!C71,Лист5!C77,Лист9!C82,Лист10!C76)</f>
        <v>0</v>
      </c>
      <c r="D130" s="60" t="str">
        <f t="shared" si="5"/>
        <v>   </v>
      </c>
      <c r="E130" s="61">
        <f t="shared" si="6"/>
        <v>0</v>
      </c>
    </row>
    <row r="131" spans="1:5" ht="18" customHeight="1">
      <c r="A131" s="49" t="s">
        <v>294</v>
      </c>
      <c r="B131" s="121">
        <f>SUM(Лист1!B105,Лист3!B80,Лист4!B72,Лист5!B78,Лист9!B83,Лист10!B77)</f>
        <v>0</v>
      </c>
      <c r="C131" s="121">
        <f>SUM(Лист1!C105,Лист3!C80,Лист4!C72,Лист5!C78,Лист9!C83,Лист10!C77)</f>
        <v>0</v>
      </c>
      <c r="D131" s="60" t="str">
        <f t="shared" si="5"/>
        <v>   </v>
      </c>
      <c r="E131" s="61">
        <f t="shared" si="6"/>
        <v>0</v>
      </c>
    </row>
    <row r="132" spans="1:5" ht="36.75" customHeight="1">
      <c r="A132" s="126" t="s">
        <v>291</v>
      </c>
      <c r="B132" s="127">
        <f>SUM(B133:B135)</f>
        <v>4094001</v>
      </c>
      <c r="C132" s="127">
        <f>SUM(C133:C135)</f>
        <v>0</v>
      </c>
      <c r="D132" s="60">
        <v>0</v>
      </c>
      <c r="E132" s="61">
        <f>C132-B132</f>
        <v>-4094001</v>
      </c>
    </row>
    <row r="133" spans="1:5" ht="12.75">
      <c r="A133" s="17" t="s">
        <v>295</v>
      </c>
      <c r="B133" s="121">
        <f>Лист1!B114+Лист3!B89+Лист4!B81+Лист5!B80+Лист7!B87+Лист8!B86+Лист9!B90+Лист10!B86</f>
        <v>0</v>
      </c>
      <c r="C133" s="121">
        <f>Лист1!C114+Лист3!C89+Лист4!C81+Лист5!C80+Лист7!C87+Лист8!C86+Лист9!C90+Лист10!C86</f>
        <v>0</v>
      </c>
      <c r="D133" s="60">
        <v>0</v>
      </c>
      <c r="E133" s="61">
        <f>C133-B133</f>
        <v>0</v>
      </c>
    </row>
    <row r="134" spans="1:5" ht="12.75">
      <c r="A134" s="17" t="s">
        <v>297</v>
      </c>
      <c r="B134" s="121">
        <f>Лист1!B115+Лист3!B90+Лист4!B82+Лист5!B81+Лист7!B88+Лист8!B87+Лист9!B91</f>
        <v>3766201</v>
      </c>
      <c r="C134" s="121">
        <f>Лист1!C115+Лист3!C90+Лист4!C82+Лист5!C81+Лист7!C88+Лист8!C87+Лист9!C91</f>
        <v>0</v>
      </c>
      <c r="D134" s="60">
        <v>0</v>
      </c>
      <c r="E134" s="61">
        <f>C134-B134</f>
        <v>-3766201</v>
      </c>
    </row>
    <row r="135" spans="1:5" ht="12.75">
      <c r="A135" s="17" t="s">
        <v>296</v>
      </c>
      <c r="B135" s="121">
        <f>Лист1!B116+Лист3!B91+Лист4!B83+Лист5!B82+Лист7!B89+Лист8!B88+Лист9!B92</f>
        <v>327800</v>
      </c>
      <c r="C135" s="121">
        <f>Лист1!C116+Лист3!C91+Лист4!C83+Лист5!C82+Лист7!C89+Лист8!C88+Лист9!C92</f>
        <v>0</v>
      </c>
      <c r="D135" s="60"/>
      <c r="E135" s="61"/>
    </row>
    <row r="136" spans="1:5" ht="12.75">
      <c r="A136" s="17" t="s">
        <v>271</v>
      </c>
      <c r="B136" s="26">
        <f>SUM(B137,)</f>
        <v>365000</v>
      </c>
      <c r="C136" s="26">
        <f>SUM(C137,)</f>
        <v>102659.62</v>
      </c>
      <c r="D136" s="60">
        <f>IF(B136=0,"   ",C136/B136*100)</f>
        <v>28.125923287671235</v>
      </c>
      <c r="E136" s="61">
        <f>C136-B136</f>
        <v>-262340.38</v>
      </c>
    </row>
    <row r="137" spans="1:5" ht="12.75">
      <c r="A137" s="17" t="s">
        <v>272</v>
      </c>
      <c r="B137" s="26">
        <f>Лист1!B94+Лист2!B64+Лист3!B69+Лист4!B61+Лист5!B67+Лист6!B65+Лист7!B81+Лист8!B70+Лист9!B66+Лист10!B66</f>
        <v>365000</v>
      </c>
      <c r="C137" s="26">
        <f>Лист1!C94+Лист2!C64+Лист3!C69+Лист4!C61+Лист5!C67+Лист6!C65+Лист7!C81+Лист8!C70+Лист9!C66+Лист10!C66</f>
        <v>102659.62</v>
      </c>
      <c r="D137" s="60">
        <f>IF(B137=0,"   ",C137/B137*100)</f>
        <v>28.125923287671235</v>
      </c>
      <c r="E137" s="61">
        <f>C137-B137</f>
        <v>-262340.38</v>
      </c>
    </row>
    <row r="138" spans="1:5" ht="15.75">
      <c r="A138" s="16" t="s">
        <v>19</v>
      </c>
      <c r="B138" s="25">
        <f>B55+B62+B64+B69+B81+B101+B102+B136+B111</f>
        <v>49739701</v>
      </c>
      <c r="C138" s="125">
        <f>SUM(C55,C62,C64,C69,C81,C101,C102,C136,C111,)</f>
        <v>13348418.659999998</v>
      </c>
      <c r="D138" s="60">
        <f t="shared" si="5"/>
        <v>26.83654785138334</v>
      </c>
      <c r="E138" s="61">
        <f t="shared" si="6"/>
        <v>-36391282.34</v>
      </c>
    </row>
    <row r="139" spans="1:5" ht="13.5" thickBot="1">
      <c r="A139" s="100" t="s">
        <v>267</v>
      </c>
      <c r="B139" s="101">
        <f>B57+B67+B104</f>
        <v>13694300</v>
      </c>
      <c r="C139" s="101">
        <f>C57+C67+C104</f>
        <v>4653371.53</v>
      </c>
      <c r="D139" s="119">
        <f t="shared" si="5"/>
        <v>33.98035335869668</v>
      </c>
      <c r="E139" s="120">
        <f t="shared" si="6"/>
        <v>-9040928.469999999</v>
      </c>
    </row>
    <row r="140" spans="1:5" ht="39" customHeight="1">
      <c r="A140" s="67" t="s">
        <v>21</v>
      </c>
      <c r="B140" s="67"/>
      <c r="C140" s="142"/>
      <c r="D140" s="142"/>
      <c r="E140" s="142"/>
    </row>
    <row r="141" spans="1:5" ht="14.25">
      <c r="A141" s="67" t="s">
        <v>65</v>
      </c>
      <c r="B141" s="67"/>
      <c r="C141" s="68" t="s">
        <v>66</v>
      </c>
      <c r="D141" s="69"/>
      <c r="E141" s="70"/>
    </row>
    <row r="142" spans="1:5" ht="12.75">
      <c r="A142" s="7"/>
      <c r="B142" s="7"/>
      <c r="C142" s="63"/>
      <c r="D142" s="7"/>
      <c r="E142" s="64"/>
    </row>
    <row r="143" spans="1:5" ht="12.75">
      <c r="A143" s="7"/>
      <c r="B143" s="7"/>
      <c r="C143" s="63"/>
      <c r="D143" s="7"/>
      <c r="E143" s="64"/>
    </row>
    <row r="144" spans="1:5" ht="12.75">
      <c r="A144" s="7"/>
      <c r="B144" s="7"/>
      <c r="C144" s="63"/>
      <c r="D144" s="7"/>
      <c r="E144" s="64"/>
    </row>
    <row r="145" spans="1:5" ht="12.75">
      <c r="A145" s="7"/>
      <c r="B145" s="7"/>
      <c r="C145" s="63"/>
      <c r="D145" s="7"/>
      <c r="E145" s="64"/>
    </row>
  </sheetData>
  <mergeCells count="2">
    <mergeCell ref="A1:E1"/>
    <mergeCell ref="C140:E140"/>
  </mergeCells>
  <printOptions/>
  <pageMargins left="0.7874015748031497" right="0.7874015748031497" top="0.4724409448818898" bottom="0.31496062992125984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9"/>
  <sheetViews>
    <sheetView zoomScale="75" zoomScaleNormal="75" workbookViewId="0" topLeftCell="A46">
      <selection activeCell="A69" sqref="A69:IV69"/>
    </sheetView>
  </sheetViews>
  <sheetFormatPr defaultColWidth="9.00390625" defaultRowHeight="12.75"/>
  <cols>
    <col min="1" max="1" width="80.875" style="0" customWidth="1"/>
    <col min="2" max="2" width="16.875" style="0" customWidth="1"/>
    <col min="3" max="3" width="19.875" style="0" customWidth="1"/>
    <col min="4" max="4" width="17.875" style="0" customWidth="1"/>
    <col min="5" max="5" width="19.375" style="0" customWidth="1"/>
  </cols>
  <sheetData>
    <row r="1" spans="1:5" ht="18">
      <c r="A1" s="141" t="s">
        <v>316</v>
      </c>
      <c r="B1" s="141"/>
      <c r="C1" s="141"/>
      <c r="D1" s="141"/>
      <c r="E1" s="141"/>
    </row>
    <row r="2" spans="1:5" ht="13.5" thickBot="1">
      <c r="A2" s="4"/>
      <c r="B2" s="4"/>
      <c r="C2" s="5"/>
      <c r="D2" s="4"/>
      <c r="E2" s="4" t="s">
        <v>0</v>
      </c>
    </row>
    <row r="3" spans="1:5" ht="63">
      <c r="A3" s="36" t="s">
        <v>1</v>
      </c>
      <c r="B3" s="20" t="s">
        <v>245</v>
      </c>
      <c r="C3" s="33" t="s">
        <v>307</v>
      </c>
      <c r="D3" s="20" t="s">
        <v>246</v>
      </c>
      <c r="E3" s="20" t="s">
        <v>247</v>
      </c>
    </row>
    <row r="4" spans="1:5" ht="12.75">
      <c r="A4" s="13">
        <v>1</v>
      </c>
      <c r="B4" s="99">
        <v>2</v>
      </c>
      <c r="C4" s="35">
        <v>3</v>
      </c>
      <c r="D4" s="30">
        <v>4</v>
      </c>
      <c r="E4" s="14">
        <v>5</v>
      </c>
    </row>
    <row r="5" spans="1:5" ht="12.75">
      <c r="A5" s="23" t="s">
        <v>2</v>
      </c>
      <c r="B5" s="11"/>
      <c r="C5" s="12"/>
      <c r="D5" s="26"/>
      <c r="E5" s="15"/>
    </row>
    <row r="6" spans="1:5" ht="15.75" customHeight="1">
      <c r="A6" s="18" t="s">
        <v>59</v>
      </c>
      <c r="B6" s="25">
        <f>SUM(B7)</f>
        <v>36900</v>
      </c>
      <c r="C6" s="25">
        <f>SUM(C7)</f>
        <v>6790.09</v>
      </c>
      <c r="D6" s="27">
        <f aca="true" t="shared" si="0" ref="D6:D69">IF(B6=0,"   ",C6/B6*100)</f>
        <v>18.401327913279133</v>
      </c>
      <c r="E6" s="51">
        <f aca="true" t="shared" si="1" ref="E6:E69">C6-B6</f>
        <v>-30109.91</v>
      </c>
    </row>
    <row r="7" spans="1:5" ht="12.75" customHeight="1">
      <c r="A7" s="17" t="s">
        <v>58</v>
      </c>
      <c r="B7" s="26">
        <v>36900</v>
      </c>
      <c r="C7" s="28">
        <v>6790.09</v>
      </c>
      <c r="D7" s="27">
        <f t="shared" si="0"/>
        <v>18.401327913279133</v>
      </c>
      <c r="E7" s="51">
        <f t="shared" si="1"/>
        <v>-30109.91</v>
      </c>
    </row>
    <row r="8" spans="1:5" ht="16.5" customHeight="1">
      <c r="A8" s="17" t="s">
        <v>7</v>
      </c>
      <c r="B8" s="26">
        <f>SUM(B9:B9)</f>
        <v>16000</v>
      </c>
      <c r="C8" s="26">
        <f>SUM(C9:C9)</f>
        <v>4580.56</v>
      </c>
      <c r="D8" s="27">
        <f t="shared" si="0"/>
        <v>28.628500000000003</v>
      </c>
      <c r="E8" s="51">
        <f t="shared" si="1"/>
        <v>-11419.439999999999</v>
      </c>
    </row>
    <row r="9" spans="1:5" ht="14.25" customHeight="1">
      <c r="A9" s="17" t="s">
        <v>39</v>
      </c>
      <c r="B9" s="26">
        <v>16000</v>
      </c>
      <c r="C9" s="28">
        <v>4580.56</v>
      </c>
      <c r="D9" s="27">
        <f t="shared" si="0"/>
        <v>28.628500000000003</v>
      </c>
      <c r="E9" s="51">
        <f t="shared" si="1"/>
        <v>-11419.439999999999</v>
      </c>
    </row>
    <row r="10" spans="1:5" ht="14.25" customHeight="1">
      <c r="A10" s="17" t="s">
        <v>9</v>
      </c>
      <c r="B10" s="26">
        <f>SUM(B11:B12)</f>
        <v>189300</v>
      </c>
      <c r="C10" s="26">
        <f>SUM(C11:C12)</f>
        <v>87912</v>
      </c>
      <c r="D10" s="27">
        <f t="shared" si="0"/>
        <v>46.4405705229794</v>
      </c>
      <c r="E10" s="51">
        <f t="shared" si="1"/>
        <v>-101388</v>
      </c>
    </row>
    <row r="11" spans="1:5" ht="12.75" customHeight="1">
      <c r="A11" s="17" t="s">
        <v>40</v>
      </c>
      <c r="B11" s="26">
        <v>77500</v>
      </c>
      <c r="C11" s="28">
        <v>7497.75</v>
      </c>
      <c r="D11" s="27">
        <f t="shared" si="0"/>
        <v>9.674516129032257</v>
      </c>
      <c r="E11" s="51">
        <f t="shared" si="1"/>
        <v>-70002.25</v>
      </c>
    </row>
    <row r="12" spans="1:5" ht="12.75">
      <c r="A12" s="17" t="s">
        <v>10</v>
      </c>
      <c r="B12" s="26">
        <v>111800</v>
      </c>
      <c r="C12" s="28">
        <v>80414.25</v>
      </c>
      <c r="D12" s="27">
        <f t="shared" si="0"/>
        <v>71.92687835420394</v>
      </c>
      <c r="E12" s="51">
        <f t="shared" si="1"/>
        <v>-31385.75</v>
      </c>
    </row>
    <row r="13" spans="1:5" ht="25.5">
      <c r="A13" s="17" t="s">
        <v>151</v>
      </c>
      <c r="B13" s="26">
        <v>0</v>
      </c>
      <c r="C13" s="28">
        <v>762.16</v>
      </c>
      <c r="D13" s="27" t="str">
        <f t="shared" si="0"/>
        <v>   </v>
      </c>
      <c r="E13" s="51">
        <f t="shared" si="1"/>
        <v>762.16</v>
      </c>
    </row>
    <row r="14" spans="1:5" ht="16.5" customHeight="1">
      <c r="A14" s="17" t="s">
        <v>112</v>
      </c>
      <c r="B14" s="25">
        <f>B15</f>
        <v>0</v>
      </c>
      <c r="C14" s="25">
        <f>C15</f>
        <v>0</v>
      </c>
      <c r="D14" s="27" t="str">
        <f t="shared" si="0"/>
        <v>   </v>
      </c>
      <c r="E14" s="51">
        <f t="shared" si="1"/>
        <v>0</v>
      </c>
    </row>
    <row r="15" spans="1:5" ht="22.5" customHeight="1">
      <c r="A15" s="17" t="s">
        <v>113</v>
      </c>
      <c r="B15" s="26">
        <v>0</v>
      </c>
      <c r="C15" s="28">
        <v>0</v>
      </c>
      <c r="D15" s="27" t="str">
        <f t="shared" si="0"/>
        <v>   </v>
      </c>
      <c r="E15" s="51">
        <f t="shared" si="1"/>
        <v>0</v>
      </c>
    </row>
    <row r="16" spans="1:5" ht="29.25" customHeight="1">
      <c r="A16" s="17" t="s">
        <v>41</v>
      </c>
      <c r="B16" s="26">
        <f>SUM(B17:B18)</f>
        <v>60000</v>
      </c>
      <c r="C16" s="25">
        <f>SUM(C17:C18)</f>
        <v>27917.53</v>
      </c>
      <c r="D16" s="27">
        <f t="shared" si="0"/>
        <v>46.52921666666667</v>
      </c>
      <c r="E16" s="51">
        <f t="shared" si="1"/>
        <v>-32082.47</v>
      </c>
    </row>
    <row r="17" spans="1:5" ht="15.75" customHeight="1">
      <c r="A17" s="17" t="s">
        <v>42</v>
      </c>
      <c r="B17" s="26">
        <v>60000</v>
      </c>
      <c r="C17" s="28">
        <v>25739.53</v>
      </c>
      <c r="D17" s="27">
        <f t="shared" si="0"/>
        <v>42.89921666666667</v>
      </c>
      <c r="E17" s="51">
        <f t="shared" si="1"/>
        <v>-34260.47</v>
      </c>
    </row>
    <row r="18" spans="1:5" ht="30" customHeight="1">
      <c r="A18" s="17" t="s">
        <v>43</v>
      </c>
      <c r="B18" s="26">
        <v>0</v>
      </c>
      <c r="C18" s="28">
        <v>2178</v>
      </c>
      <c r="D18" s="27" t="str">
        <f t="shared" si="0"/>
        <v>   </v>
      </c>
      <c r="E18" s="51">
        <f t="shared" si="1"/>
        <v>2178</v>
      </c>
    </row>
    <row r="19" spans="1:5" ht="24" customHeight="1">
      <c r="A19" s="44" t="s">
        <v>156</v>
      </c>
      <c r="B19" s="26">
        <v>0</v>
      </c>
      <c r="C19" s="28">
        <v>0</v>
      </c>
      <c r="D19" s="27" t="str">
        <f t="shared" si="0"/>
        <v>   </v>
      </c>
      <c r="E19" s="51">
        <f t="shared" si="1"/>
        <v>0</v>
      </c>
    </row>
    <row r="20" spans="1:5" ht="16.5" customHeight="1">
      <c r="A20" s="17" t="s">
        <v>45</v>
      </c>
      <c r="B20" s="26">
        <f>SUM(B21)</f>
        <v>0</v>
      </c>
      <c r="C20" s="26">
        <v>0</v>
      </c>
      <c r="D20" s="27" t="str">
        <f t="shared" si="0"/>
        <v>   </v>
      </c>
      <c r="E20" s="51">
        <f t="shared" si="1"/>
        <v>0</v>
      </c>
    </row>
    <row r="21" spans="1:5" ht="15.75" customHeight="1">
      <c r="A21" s="17" t="s">
        <v>214</v>
      </c>
      <c r="B21" s="26">
        <v>0</v>
      </c>
      <c r="C21" s="26">
        <v>0</v>
      </c>
      <c r="D21" s="27" t="str">
        <f t="shared" si="0"/>
        <v>   </v>
      </c>
      <c r="E21" s="51">
        <f t="shared" si="1"/>
        <v>0</v>
      </c>
    </row>
    <row r="22" spans="1:5" s="9" customFormat="1" ht="15" customHeight="1">
      <c r="A22" s="17" t="s">
        <v>215</v>
      </c>
      <c r="B22" s="41">
        <v>0</v>
      </c>
      <c r="C22" s="42">
        <v>0</v>
      </c>
      <c r="D22" s="43" t="str">
        <f>IF(B22=0,"   ",C22/B22*100)</f>
        <v>   </v>
      </c>
      <c r="E22" s="45">
        <f>C22-B22</f>
        <v>0</v>
      </c>
    </row>
    <row r="23" spans="1:5" ht="19.5" customHeight="1">
      <c r="A23" s="17" t="s">
        <v>44</v>
      </c>
      <c r="B23" s="26">
        <v>0</v>
      </c>
      <c r="C23" s="26">
        <v>0</v>
      </c>
      <c r="D23" s="27" t="str">
        <f t="shared" si="0"/>
        <v>   </v>
      </c>
      <c r="E23" s="51">
        <f t="shared" si="1"/>
        <v>0</v>
      </c>
    </row>
    <row r="24" spans="1:5" ht="19.5" customHeight="1">
      <c r="A24" s="16" t="s">
        <v>11</v>
      </c>
      <c r="B24" s="52">
        <f>SUM(B6,B8,B10,B13,B14,B16,B23,B19,B20)</f>
        <v>302200</v>
      </c>
      <c r="C24" s="52">
        <f>SUM(C6,C8,C10,C13,C14,C16,C23,C19,C20)</f>
        <v>127962.34</v>
      </c>
      <c r="D24" s="27">
        <f t="shared" si="0"/>
        <v>42.34359364659166</v>
      </c>
      <c r="E24" s="51">
        <f t="shared" si="1"/>
        <v>-174237.66</v>
      </c>
    </row>
    <row r="25" spans="1:5" ht="16.5" customHeight="1">
      <c r="A25" s="18" t="s">
        <v>47</v>
      </c>
      <c r="B25" s="25">
        <v>1084000</v>
      </c>
      <c r="C25" s="25">
        <v>427300</v>
      </c>
      <c r="D25" s="27">
        <f t="shared" si="0"/>
        <v>39.41881918819188</v>
      </c>
      <c r="E25" s="51">
        <f t="shared" si="1"/>
        <v>-656700</v>
      </c>
    </row>
    <row r="26" spans="1:5" ht="27.75" customHeight="1">
      <c r="A26" s="17" t="s">
        <v>68</v>
      </c>
      <c r="B26" s="26">
        <v>385000</v>
      </c>
      <c r="C26" s="28">
        <v>0</v>
      </c>
      <c r="D26" s="27">
        <f t="shared" si="0"/>
        <v>0</v>
      </c>
      <c r="E26" s="51">
        <f t="shared" si="1"/>
        <v>-385000</v>
      </c>
    </row>
    <row r="27" spans="1:5" ht="39.75" customHeight="1">
      <c r="A27" s="17" t="s">
        <v>72</v>
      </c>
      <c r="B27" s="26">
        <v>45900</v>
      </c>
      <c r="C27" s="26">
        <v>45900</v>
      </c>
      <c r="D27" s="27">
        <f t="shared" si="0"/>
        <v>100</v>
      </c>
      <c r="E27" s="51">
        <f t="shared" si="1"/>
        <v>0</v>
      </c>
    </row>
    <row r="28" spans="1:5" ht="24.75" customHeight="1">
      <c r="A28" s="44" t="s">
        <v>167</v>
      </c>
      <c r="B28" s="26">
        <v>100</v>
      </c>
      <c r="C28" s="28">
        <v>100</v>
      </c>
      <c r="D28" s="27">
        <f t="shared" si="0"/>
        <v>100</v>
      </c>
      <c r="E28" s="51">
        <f t="shared" si="1"/>
        <v>0</v>
      </c>
    </row>
    <row r="29" spans="1:5" ht="24.75" customHeight="1">
      <c r="A29" s="44" t="s">
        <v>142</v>
      </c>
      <c r="B29" s="26">
        <v>0</v>
      </c>
      <c r="C29" s="28">
        <v>0</v>
      </c>
      <c r="D29" s="27" t="str">
        <f t="shared" si="0"/>
        <v>   </v>
      </c>
      <c r="E29" s="51">
        <f t="shared" si="1"/>
        <v>0</v>
      </c>
    </row>
    <row r="30" spans="1:5" ht="39.75" customHeight="1">
      <c r="A30" s="17" t="s">
        <v>177</v>
      </c>
      <c r="B30" s="26">
        <v>7500</v>
      </c>
      <c r="C30" s="26">
        <v>0</v>
      </c>
      <c r="D30" s="27">
        <f t="shared" si="0"/>
        <v>0</v>
      </c>
      <c r="E30" s="51">
        <f t="shared" si="1"/>
        <v>-7500</v>
      </c>
    </row>
    <row r="31" spans="1:5" ht="16.5" customHeight="1">
      <c r="A31" s="17" t="s">
        <v>114</v>
      </c>
      <c r="B31" s="26">
        <f>B32</f>
        <v>152000</v>
      </c>
      <c r="C31" s="26">
        <f>C32</f>
        <v>19958</v>
      </c>
      <c r="D31" s="27">
        <f t="shared" si="0"/>
        <v>13.130263157894737</v>
      </c>
      <c r="E31" s="51">
        <f t="shared" si="1"/>
        <v>-132042</v>
      </c>
    </row>
    <row r="32" spans="1:5" s="7" customFormat="1" ht="14.25" customHeight="1">
      <c r="A32" s="65" t="s">
        <v>216</v>
      </c>
      <c r="B32" s="66">
        <v>152000</v>
      </c>
      <c r="C32" s="66">
        <v>19958</v>
      </c>
      <c r="D32" s="66">
        <f t="shared" si="0"/>
        <v>13.130263157894737</v>
      </c>
      <c r="E32" s="45">
        <f t="shared" si="1"/>
        <v>-132042</v>
      </c>
    </row>
    <row r="33" spans="1:5" ht="27.75" customHeight="1">
      <c r="A33" s="17" t="s">
        <v>48</v>
      </c>
      <c r="B33" s="26">
        <v>0</v>
      </c>
      <c r="C33" s="28">
        <v>0</v>
      </c>
      <c r="D33" s="66" t="str">
        <f t="shared" si="0"/>
        <v>   </v>
      </c>
      <c r="E33" s="51">
        <f t="shared" si="1"/>
        <v>0</v>
      </c>
    </row>
    <row r="34" spans="1:5" ht="21.75" customHeight="1">
      <c r="A34" s="16" t="s">
        <v>14</v>
      </c>
      <c r="B34" s="25">
        <f>SUM(B24,B25,B26:B31,B33)</f>
        <v>1976700</v>
      </c>
      <c r="C34" s="25">
        <f>SUM(C24,C25,C26:C31,C33)</f>
        <v>621220.34</v>
      </c>
      <c r="D34" s="27">
        <f t="shared" si="0"/>
        <v>31.427143218495466</v>
      </c>
      <c r="E34" s="51">
        <f t="shared" si="1"/>
        <v>-1355479.6600000001</v>
      </c>
    </row>
    <row r="35" spans="1:5" ht="12.75">
      <c r="A35" s="31" t="s">
        <v>69</v>
      </c>
      <c r="B35" s="25"/>
      <c r="C35" s="26"/>
      <c r="D35" s="27" t="str">
        <f t="shared" si="0"/>
        <v>   </v>
      </c>
      <c r="E35" s="51">
        <f t="shared" si="1"/>
        <v>0</v>
      </c>
    </row>
    <row r="36" spans="1:5" ht="12.75">
      <c r="A36" s="23" t="s">
        <v>15</v>
      </c>
      <c r="B36" s="53"/>
      <c r="C36" s="54"/>
      <c r="D36" s="27" t="str">
        <f t="shared" si="0"/>
        <v>   </v>
      </c>
      <c r="E36" s="51">
        <f t="shared" si="1"/>
        <v>0</v>
      </c>
    </row>
    <row r="37" spans="1:5" ht="12.75">
      <c r="A37" s="17" t="s">
        <v>49</v>
      </c>
      <c r="B37" s="26">
        <v>758300</v>
      </c>
      <c r="C37" s="26">
        <v>282579.14</v>
      </c>
      <c r="D37" s="27">
        <f t="shared" si="0"/>
        <v>37.264821310826854</v>
      </c>
      <c r="E37" s="51">
        <f t="shared" si="1"/>
        <v>-475720.86</v>
      </c>
    </row>
    <row r="38" spans="1:5" ht="12.75">
      <c r="A38" s="17" t="s">
        <v>50</v>
      </c>
      <c r="B38" s="26">
        <v>757800</v>
      </c>
      <c r="C38" s="26">
        <v>282579.14</v>
      </c>
      <c r="D38" s="27">
        <f t="shared" si="0"/>
        <v>37.289408814990765</v>
      </c>
      <c r="E38" s="51">
        <f t="shared" si="1"/>
        <v>-475220.86</v>
      </c>
    </row>
    <row r="39" spans="1:5" ht="12.75">
      <c r="A39" s="123" t="s">
        <v>263</v>
      </c>
      <c r="B39" s="26">
        <v>476900</v>
      </c>
      <c r="C39" s="29">
        <v>176063.39</v>
      </c>
      <c r="D39" s="27">
        <f t="shared" si="0"/>
        <v>36.91830362759488</v>
      </c>
      <c r="E39" s="51">
        <f t="shared" si="1"/>
        <v>-300836.61</v>
      </c>
    </row>
    <row r="40" spans="1:5" ht="12.75">
      <c r="A40" s="17" t="s">
        <v>217</v>
      </c>
      <c r="B40" s="26">
        <v>100</v>
      </c>
      <c r="C40" s="29">
        <v>0</v>
      </c>
      <c r="D40" s="27">
        <f t="shared" si="0"/>
        <v>0</v>
      </c>
      <c r="E40" s="51">
        <f t="shared" si="1"/>
        <v>-100</v>
      </c>
    </row>
    <row r="41" spans="1:5" ht="12.75">
      <c r="A41" s="17" t="s">
        <v>169</v>
      </c>
      <c r="B41" s="26">
        <v>500</v>
      </c>
      <c r="C41" s="29">
        <v>0</v>
      </c>
      <c r="D41" s="27">
        <f t="shared" si="0"/>
        <v>0</v>
      </c>
      <c r="E41" s="51">
        <f t="shared" si="1"/>
        <v>-500</v>
      </c>
    </row>
    <row r="42" spans="1:5" ht="12.75">
      <c r="A42" s="17" t="s">
        <v>75</v>
      </c>
      <c r="B42" s="26">
        <v>0</v>
      </c>
      <c r="C42" s="28">
        <v>0</v>
      </c>
      <c r="D42" s="27" t="str">
        <f t="shared" si="0"/>
        <v>   </v>
      </c>
      <c r="E42" s="51">
        <f t="shared" si="1"/>
        <v>0</v>
      </c>
    </row>
    <row r="43" spans="1:5" ht="12.75">
      <c r="A43" s="17" t="s">
        <v>70</v>
      </c>
      <c r="B43" s="28">
        <f>SUM(B44)</f>
        <v>45900</v>
      </c>
      <c r="C43" s="28">
        <f>SUM(C44)</f>
        <v>11284.43</v>
      </c>
      <c r="D43" s="27">
        <f t="shared" si="0"/>
        <v>24.584814814814816</v>
      </c>
      <c r="E43" s="51">
        <f t="shared" si="1"/>
        <v>-34615.57</v>
      </c>
    </row>
    <row r="44" spans="1:5" ht="24">
      <c r="A44" s="44" t="s">
        <v>212</v>
      </c>
      <c r="B44" s="26">
        <v>45900</v>
      </c>
      <c r="C44" s="28">
        <v>11284.43</v>
      </c>
      <c r="D44" s="27">
        <f t="shared" si="0"/>
        <v>24.584814814814816</v>
      </c>
      <c r="E44" s="51">
        <f t="shared" si="1"/>
        <v>-34615.57</v>
      </c>
    </row>
    <row r="45" spans="1:5" ht="12.75">
      <c r="A45" s="17" t="s">
        <v>51</v>
      </c>
      <c r="B45" s="26">
        <f>SUM(B46)</f>
        <v>400</v>
      </c>
      <c r="C45" s="28">
        <f>SUM(C46)</f>
        <v>0</v>
      </c>
      <c r="D45" s="27">
        <f t="shared" si="0"/>
        <v>0</v>
      </c>
      <c r="E45" s="51">
        <f t="shared" si="1"/>
        <v>-400</v>
      </c>
    </row>
    <row r="46" spans="1:5" ht="25.5">
      <c r="A46" s="49" t="s">
        <v>154</v>
      </c>
      <c r="B46" s="26">
        <v>400</v>
      </c>
      <c r="C46" s="28">
        <v>0</v>
      </c>
      <c r="D46" s="27">
        <f t="shared" si="0"/>
        <v>0</v>
      </c>
      <c r="E46" s="51">
        <f t="shared" si="1"/>
        <v>-400</v>
      </c>
    </row>
    <row r="47" spans="1:5" ht="12.75">
      <c r="A47" s="17" t="s">
        <v>52</v>
      </c>
      <c r="B47" s="26">
        <f>SUM(B49)</f>
        <v>0</v>
      </c>
      <c r="C47" s="26">
        <f>SUM(C49)</f>
        <v>0</v>
      </c>
      <c r="D47" s="27" t="str">
        <f t="shared" si="0"/>
        <v>   </v>
      </c>
      <c r="E47" s="51">
        <f t="shared" si="1"/>
        <v>0</v>
      </c>
    </row>
    <row r="48" spans="1:5" ht="12.75">
      <c r="A48" s="17" t="s">
        <v>64</v>
      </c>
      <c r="B48" s="26">
        <v>0</v>
      </c>
      <c r="C48" s="26">
        <v>0</v>
      </c>
      <c r="D48" s="27" t="str">
        <f t="shared" si="0"/>
        <v>   </v>
      </c>
      <c r="E48" s="51">
        <f t="shared" si="1"/>
        <v>0</v>
      </c>
    </row>
    <row r="49" spans="1:5" ht="12.75">
      <c r="A49" s="17" t="s">
        <v>76</v>
      </c>
      <c r="B49" s="26">
        <v>0</v>
      </c>
      <c r="C49" s="26">
        <v>0</v>
      </c>
      <c r="D49" s="27" t="str">
        <f t="shared" si="0"/>
        <v>   </v>
      </c>
      <c r="E49" s="51">
        <f t="shared" si="1"/>
        <v>0</v>
      </c>
    </row>
    <row r="50" spans="1:5" ht="13.5" customHeight="1">
      <c r="A50" s="17" t="s">
        <v>16</v>
      </c>
      <c r="B50" s="26">
        <f>SUM(B53,B51)</f>
        <v>312000</v>
      </c>
      <c r="C50" s="26">
        <f>SUM(C53,C51)</f>
        <v>67292.08</v>
      </c>
      <c r="D50" s="27">
        <f t="shared" si="0"/>
        <v>21.56797435897436</v>
      </c>
      <c r="E50" s="51">
        <f t="shared" si="1"/>
        <v>-244707.91999999998</v>
      </c>
    </row>
    <row r="51" spans="1:5" ht="13.5" customHeight="1">
      <c r="A51" s="17" t="s">
        <v>146</v>
      </c>
      <c r="B51" s="26">
        <f>SUM(B52)</f>
        <v>0</v>
      </c>
      <c r="C51" s="26">
        <f>SUM(C52)</f>
        <v>0</v>
      </c>
      <c r="D51" s="27" t="str">
        <f t="shared" si="0"/>
        <v>   </v>
      </c>
      <c r="E51" s="51">
        <f t="shared" si="1"/>
        <v>0</v>
      </c>
    </row>
    <row r="52" spans="1:5" ht="14.25" customHeight="1">
      <c r="A52" s="17" t="s">
        <v>147</v>
      </c>
      <c r="B52" s="26">
        <v>0</v>
      </c>
      <c r="C52" s="26">
        <v>0</v>
      </c>
      <c r="D52" s="27" t="str">
        <f t="shared" si="0"/>
        <v>   </v>
      </c>
      <c r="E52" s="51">
        <f t="shared" si="1"/>
        <v>0</v>
      </c>
    </row>
    <row r="53" spans="1:5" ht="12.75">
      <c r="A53" s="17" t="s">
        <v>87</v>
      </c>
      <c r="B53" s="26">
        <v>312000</v>
      </c>
      <c r="C53" s="26">
        <v>67292.08</v>
      </c>
      <c r="D53" s="27">
        <f t="shared" si="0"/>
        <v>21.56797435897436</v>
      </c>
      <c r="E53" s="51">
        <f t="shared" si="1"/>
        <v>-244707.91999999998</v>
      </c>
    </row>
    <row r="54" spans="1:5" ht="12.75">
      <c r="A54" s="17" t="s">
        <v>85</v>
      </c>
      <c r="B54" s="26">
        <v>60000</v>
      </c>
      <c r="C54" s="28">
        <v>27376.08</v>
      </c>
      <c r="D54" s="27">
        <f t="shared" si="0"/>
        <v>45.6268</v>
      </c>
      <c r="E54" s="51">
        <f t="shared" si="1"/>
        <v>-32623.92</v>
      </c>
    </row>
    <row r="55" spans="1:5" ht="12.75">
      <c r="A55" s="17" t="s">
        <v>131</v>
      </c>
      <c r="B55" s="26">
        <v>152000</v>
      </c>
      <c r="C55" s="28">
        <v>4916</v>
      </c>
      <c r="D55" s="27">
        <f t="shared" si="0"/>
        <v>3.234210526315789</v>
      </c>
      <c r="E55" s="51">
        <f t="shared" si="1"/>
        <v>-147084</v>
      </c>
    </row>
    <row r="56" spans="1:5" ht="12.75">
      <c r="A56" s="17" t="s">
        <v>132</v>
      </c>
      <c r="B56" s="26">
        <v>100000</v>
      </c>
      <c r="C56" s="28">
        <v>35000</v>
      </c>
      <c r="D56" s="27">
        <f t="shared" si="0"/>
        <v>35</v>
      </c>
      <c r="E56" s="51">
        <f t="shared" si="1"/>
        <v>-65000</v>
      </c>
    </row>
    <row r="57" spans="1:5" ht="12.75">
      <c r="A57" s="17" t="s">
        <v>88</v>
      </c>
      <c r="B57" s="26">
        <v>0</v>
      </c>
      <c r="C57" s="28">
        <v>0</v>
      </c>
      <c r="D57" s="27" t="str">
        <f t="shared" si="0"/>
        <v>   </v>
      </c>
      <c r="E57" s="51">
        <f t="shared" si="1"/>
        <v>0</v>
      </c>
    </row>
    <row r="58" spans="1:5" ht="15">
      <c r="A58" s="19" t="s">
        <v>25</v>
      </c>
      <c r="B58" s="32">
        <v>10000</v>
      </c>
      <c r="C58" s="32">
        <v>550</v>
      </c>
      <c r="D58" s="27">
        <f t="shared" si="0"/>
        <v>5.5</v>
      </c>
      <c r="E58" s="51">
        <f t="shared" si="1"/>
        <v>-9450</v>
      </c>
    </row>
    <row r="59" spans="1:5" ht="12.75">
      <c r="A59" s="17" t="s">
        <v>55</v>
      </c>
      <c r="B59" s="25">
        <f>B60</f>
        <v>768700</v>
      </c>
      <c r="C59" s="25">
        <f>C60</f>
        <v>260532.02</v>
      </c>
      <c r="D59" s="27">
        <f t="shared" si="0"/>
        <v>33.89254845843632</v>
      </c>
      <c r="E59" s="51">
        <f t="shared" si="1"/>
        <v>-508167.98</v>
      </c>
    </row>
    <row r="60" spans="1:5" ht="12.75">
      <c r="A60" s="17" t="s">
        <v>56</v>
      </c>
      <c r="B60" s="26">
        <v>768700</v>
      </c>
      <c r="C60" s="28">
        <v>260532.02</v>
      </c>
      <c r="D60" s="27">
        <f t="shared" si="0"/>
        <v>33.89254845843632</v>
      </c>
      <c r="E60" s="51">
        <f t="shared" si="1"/>
        <v>-508167.98</v>
      </c>
    </row>
    <row r="61" spans="1:5" ht="12.75">
      <c r="A61" s="123" t="s">
        <v>264</v>
      </c>
      <c r="B61" s="26">
        <v>479800</v>
      </c>
      <c r="C61" s="28">
        <v>139847.07</v>
      </c>
      <c r="D61" s="27">
        <f t="shared" si="0"/>
        <v>29.146950812838686</v>
      </c>
      <c r="E61" s="51">
        <f t="shared" si="1"/>
        <v>-339952.93</v>
      </c>
    </row>
    <row r="62" spans="1:5" ht="14.25" customHeight="1">
      <c r="A62" s="17" t="s">
        <v>213</v>
      </c>
      <c r="B62" s="26">
        <v>7500</v>
      </c>
      <c r="C62" s="28">
        <v>0</v>
      </c>
      <c r="D62" s="27">
        <f t="shared" si="0"/>
        <v>0</v>
      </c>
      <c r="E62" s="51">
        <f t="shared" si="1"/>
        <v>-7500</v>
      </c>
    </row>
    <row r="63" spans="1:5" ht="12.75">
      <c r="A63" s="17" t="s">
        <v>271</v>
      </c>
      <c r="B63" s="26">
        <f>SUM(B64,)</f>
        <v>60000</v>
      </c>
      <c r="C63" s="26">
        <f>SUM(C64,)</f>
        <v>0</v>
      </c>
      <c r="D63" s="27">
        <f t="shared" si="0"/>
        <v>0</v>
      </c>
      <c r="E63" s="51">
        <f t="shared" si="1"/>
        <v>-60000</v>
      </c>
    </row>
    <row r="64" spans="1:5" ht="12.75">
      <c r="A64" s="17" t="s">
        <v>57</v>
      </c>
      <c r="B64" s="26">
        <v>60000</v>
      </c>
      <c r="C64" s="29">
        <v>0</v>
      </c>
      <c r="D64" s="27">
        <f t="shared" si="0"/>
        <v>0</v>
      </c>
      <c r="E64" s="51">
        <f t="shared" si="1"/>
        <v>-60000</v>
      </c>
    </row>
    <row r="65" spans="1:5" ht="12.75">
      <c r="A65" s="17" t="s">
        <v>18</v>
      </c>
      <c r="B65" s="26">
        <f>B66</f>
        <v>69700</v>
      </c>
      <c r="C65" s="26">
        <f>C66</f>
        <v>0</v>
      </c>
      <c r="D65" s="27">
        <f t="shared" si="0"/>
        <v>0</v>
      </c>
      <c r="E65" s="51">
        <f t="shared" si="1"/>
        <v>-69700</v>
      </c>
    </row>
    <row r="66" spans="1:5" ht="12.75">
      <c r="A66" s="17" t="s">
        <v>281</v>
      </c>
      <c r="B66" s="26">
        <f>SUM(B67)</f>
        <v>69700</v>
      </c>
      <c r="C66" s="26">
        <f>SUM(C67)</f>
        <v>0</v>
      </c>
      <c r="D66" s="27">
        <f t="shared" si="0"/>
        <v>0</v>
      </c>
      <c r="E66" s="51">
        <f t="shared" si="1"/>
        <v>-69700</v>
      </c>
    </row>
    <row r="67" spans="1:5" ht="12.75">
      <c r="A67" s="126" t="s">
        <v>279</v>
      </c>
      <c r="B67" s="127">
        <f>SUM(B68)</f>
        <v>69700</v>
      </c>
      <c r="C67" s="127">
        <f>SUM(C68)</f>
        <v>0</v>
      </c>
      <c r="D67" s="27">
        <f t="shared" si="0"/>
        <v>0</v>
      </c>
      <c r="E67" s="51">
        <f t="shared" si="1"/>
        <v>-69700</v>
      </c>
    </row>
    <row r="68" spans="1:5" ht="25.5" customHeight="1">
      <c r="A68" s="17" t="s">
        <v>300</v>
      </c>
      <c r="B68" s="26">
        <f>SUM(B69:B71)</f>
        <v>69700</v>
      </c>
      <c r="C68" s="26">
        <f>SUM(C69:C71)</f>
        <v>0</v>
      </c>
      <c r="D68" s="27">
        <f t="shared" si="0"/>
        <v>0</v>
      </c>
      <c r="E68" s="51">
        <f t="shared" si="1"/>
        <v>-69700</v>
      </c>
    </row>
    <row r="69" spans="1:5" ht="15.75" customHeight="1">
      <c r="A69" s="49" t="s">
        <v>292</v>
      </c>
      <c r="B69" s="26">
        <v>0</v>
      </c>
      <c r="C69" s="28"/>
      <c r="D69" s="27" t="str">
        <f t="shared" si="0"/>
        <v>   </v>
      </c>
      <c r="E69" s="51">
        <f t="shared" si="1"/>
        <v>0</v>
      </c>
    </row>
    <row r="70" spans="1:5" ht="14.25" customHeight="1">
      <c r="A70" s="49" t="s">
        <v>293</v>
      </c>
      <c r="B70">
        <v>0</v>
      </c>
      <c r="C70" s="28"/>
      <c r="D70" s="27" t="str">
        <f>IF(B70=0,"   ",C70/B70*100)</f>
        <v>   </v>
      </c>
      <c r="E70" s="51">
        <f>C70-B70</f>
        <v>0</v>
      </c>
    </row>
    <row r="71" spans="1:5" ht="12.75" customHeight="1">
      <c r="A71" s="49" t="s">
        <v>294</v>
      </c>
      <c r="B71" s="121">
        <v>69700</v>
      </c>
      <c r="C71" s="28"/>
      <c r="D71" s="27">
        <f>IF(B71=0,"   ",C71/B71*100)</f>
        <v>0</v>
      </c>
      <c r="E71" s="51">
        <f>C71-B71</f>
        <v>-69700</v>
      </c>
    </row>
    <row r="72" spans="1:5" ht="18" customHeight="1">
      <c r="A72" s="16" t="s">
        <v>19</v>
      </c>
      <c r="B72" s="25">
        <f>SUM(B37,B43,B45,B47,B50,B58,B59,B63,B65,)</f>
        <v>2025000</v>
      </c>
      <c r="C72" s="25">
        <f>SUM(C37,C43,C45,C47,C50,C58,C59,C63,C65,)</f>
        <v>622237.67</v>
      </c>
      <c r="D72" s="27">
        <f>IF(B72=0,"   ",C72/B72*100)</f>
        <v>30.72778617283951</v>
      </c>
      <c r="E72" s="51">
        <f>C72-B72</f>
        <v>-1402762.33</v>
      </c>
    </row>
    <row r="73" spans="1:5" ht="14.25" customHeight="1" thickBot="1">
      <c r="A73" s="100" t="s">
        <v>267</v>
      </c>
      <c r="B73" s="101">
        <f>B39+B61</f>
        <v>956700</v>
      </c>
      <c r="C73" s="101">
        <f>C39+C61</f>
        <v>315910.46</v>
      </c>
      <c r="D73" s="102">
        <f>IF(B73=0,"   ",C73/B73*100)</f>
        <v>33.0208487509146</v>
      </c>
      <c r="E73" s="103">
        <f>C73-B73</f>
        <v>-640789.54</v>
      </c>
    </row>
    <row r="74" spans="1:5" ht="14.25" customHeight="1">
      <c r="A74" s="67" t="s">
        <v>21</v>
      </c>
      <c r="B74" s="67"/>
      <c r="C74" s="142"/>
      <c r="D74" s="142"/>
      <c r="E74" s="142"/>
    </row>
    <row r="75" spans="1:5" ht="12.75" customHeight="1">
      <c r="A75" s="67" t="s">
        <v>65</v>
      </c>
      <c r="B75" s="67"/>
      <c r="C75" s="68" t="s">
        <v>66</v>
      </c>
      <c r="D75" s="69"/>
      <c r="E75" s="70"/>
    </row>
    <row r="76" spans="1:5" ht="12.75">
      <c r="A76" s="7"/>
      <c r="B76" s="7"/>
      <c r="C76" s="6"/>
      <c r="D76" s="7"/>
      <c r="E76" s="2"/>
    </row>
    <row r="77" spans="1:5" ht="12.75">
      <c r="A77" s="7"/>
      <c r="B77" s="7"/>
      <c r="C77" s="6"/>
      <c r="D77" s="7"/>
      <c r="E77" s="2"/>
    </row>
    <row r="78" spans="1:5" ht="12.75">
      <c r="A78" s="7"/>
      <c r="B78" s="7"/>
      <c r="C78" s="6"/>
      <c r="D78" s="7"/>
      <c r="E78" s="2"/>
    </row>
    <row r="79" spans="1:5" ht="12.75">
      <c r="A79" s="7"/>
      <c r="B79" s="7"/>
      <c r="C79" s="6"/>
      <c r="D79" s="7"/>
      <c r="E79" s="2"/>
    </row>
  </sheetData>
  <mergeCells count="2">
    <mergeCell ref="A1:E1"/>
    <mergeCell ref="C74:E74"/>
  </mergeCells>
  <printOptions/>
  <pageMargins left="0.7874015748031497" right="0.7874015748031497" top="0.4724409448818898" bottom="0.5118110236220472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9"/>
  <sheetViews>
    <sheetView view="pageBreakPreview" zoomScaleNormal="75" zoomScaleSheetLayoutView="100" workbookViewId="0" topLeftCell="A55">
      <selection activeCell="A74" sqref="A74:IV74"/>
    </sheetView>
  </sheetViews>
  <sheetFormatPr defaultColWidth="9.00390625" defaultRowHeight="12.75"/>
  <cols>
    <col min="1" max="1" width="92.875" style="0" customWidth="1"/>
    <col min="2" max="2" width="15.25390625" style="0" customWidth="1"/>
    <col min="3" max="3" width="19.375" style="0" customWidth="1"/>
    <col min="4" max="4" width="14.625" style="0" customWidth="1"/>
    <col min="5" max="5" width="19.25390625" style="0" customWidth="1"/>
  </cols>
  <sheetData>
    <row r="1" spans="1:5" ht="18">
      <c r="A1" s="141" t="s">
        <v>315</v>
      </c>
      <c r="B1" s="141"/>
      <c r="C1" s="141"/>
      <c r="D1" s="141"/>
      <c r="E1" s="141"/>
    </row>
    <row r="2" spans="1:5" ht="13.5" thickBot="1">
      <c r="A2" s="4"/>
      <c r="B2" s="4"/>
      <c r="C2" s="5"/>
      <c r="D2" s="4"/>
      <c r="E2" s="4" t="s">
        <v>0</v>
      </c>
    </row>
    <row r="3" spans="1:5" ht="61.5" customHeight="1">
      <c r="A3" s="36" t="s">
        <v>1</v>
      </c>
      <c r="B3" s="20" t="s">
        <v>245</v>
      </c>
      <c r="C3" s="33" t="s">
        <v>307</v>
      </c>
      <c r="D3" s="20" t="s">
        <v>248</v>
      </c>
      <c r="E3" s="20" t="s">
        <v>249</v>
      </c>
    </row>
    <row r="4" spans="1:5" ht="12.75">
      <c r="A4" s="13">
        <v>1</v>
      </c>
      <c r="B4" s="99">
        <v>2</v>
      </c>
      <c r="C4" s="35">
        <v>3</v>
      </c>
      <c r="D4" s="30">
        <v>4</v>
      </c>
      <c r="E4" s="14">
        <v>5</v>
      </c>
    </row>
    <row r="5" spans="1:5" ht="12.75">
      <c r="A5" s="23" t="s">
        <v>2</v>
      </c>
      <c r="B5" s="11"/>
      <c r="C5" s="12"/>
      <c r="D5" s="26"/>
      <c r="E5" s="15"/>
    </row>
    <row r="6" spans="1:5" ht="15" customHeight="1">
      <c r="A6" s="18" t="s">
        <v>59</v>
      </c>
      <c r="B6" s="25">
        <f>SUM(B7)</f>
        <v>62000</v>
      </c>
      <c r="C6" s="25">
        <f>SUM(C7)</f>
        <v>21146.41</v>
      </c>
      <c r="D6" s="27">
        <f aca="true" t="shared" si="0" ref="D6:D69">IF(B6=0,"   ",C6/B6*100)</f>
        <v>34.107112903225804</v>
      </c>
      <c r="E6" s="51">
        <f aca="true" t="shared" si="1" ref="E6:E93">C6-B6</f>
        <v>-40853.59</v>
      </c>
    </row>
    <row r="7" spans="1:5" ht="15" customHeight="1">
      <c r="A7" s="17" t="s">
        <v>58</v>
      </c>
      <c r="B7" s="26">
        <v>62000</v>
      </c>
      <c r="C7" s="28">
        <v>21146.41</v>
      </c>
      <c r="D7" s="27">
        <f t="shared" si="0"/>
        <v>34.107112903225804</v>
      </c>
      <c r="E7" s="51">
        <f t="shared" si="1"/>
        <v>-40853.59</v>
      </c>
    </row>
    <row r="8" spans="1:5" ht="16.5" customHeight="1">
      <c r="A8" s="17" t="s">
        <v>7</v>
      </c>
      <c r="B8" s="26">
        <f>B9</f>
        <v>28000</v>
      </c>
      <c r="C8" s="26">
        <f>C9</f>
        <v>27502.3</v>
      </c>
      <c r="D8" s="27">
        <f t="shared" si="0"/>
        <v>98.2225</v>
      </c>
      <c r="E8" s="51">
        <f t="shared" si="1"/>
        <v>-497.7000000000007</v>
      </c>
    </row>
    <row r="9" spans="1:5" ht="15" customHeight="1">
      <c r="A9" s="17" t="s">
        <v>39</v>
      </c>
      <c r="B9" s="26">
        <v>28000</v>
      </c>
      <c r="C9" s="28">
        <v>27502.3</v>
      </c>
      <c r="D9" s="27">
        <f t="shared" si="0"/>
        <v>98.2225</v>
      </c>
      <c r="E9" s="51">
        <f t="shared" si="1"/>
        <v>-497.7000000000007</v>
      </c>
    </row>
    <row r="10" spans="1:5" ht="15" customHeight="1">
      <c r="A10" s="17" t="s">
        <v>9</v>
      </c>
      <c r="B10" s="26">
        <f>SUM(B11:B12)</f>
        <v>121400</v>
      </c>
      <c r="C10" s="26">
        <f>SUM(C11:C12)</f>
        <v>9796.61</v>
      </c>
      <c r="D10" s="27">
        <f t="shared" si="0"/>
        <v>8.069695222405272</v>
      </c>
      <c r="E10" s="51">
        <f t="shared" si="1"/>
        <v>-111603.39</v>
      </c>
    </row>
    <row r="11" spans="1:5" ht="12.75" customHeight="1">
      <c r="A11" s="17" t="s">
        <v>40</v>
      </c>
      <c r="B11" s="26">
        <v>66000</v>
      </c>
      <c r="C11" s="28">
        <v>6647.75</v>
      </c>
      <c r="D11" s="27">
        <f t="shared" si="0"/>
        <v>10.072348484848485</v>
      </c>
      <c r="E11" s="51">
        <f t="shared" si="1"/>
        <v>-59352.25</v>
      </c>
    </row>
    <row r="12" spans="1:5" ht="15" customHeight="1">
      <c r="A12" s="17" t="s">
        <v>10</v>
      </c>
      <c r="B12" s="26">
        <v>55400</v>
      </c>
      <c r="C12" s="28">
        <v>3148.86</v>
      </c>
      <c r="D12" s="27">
        <f t="shared" si="0"/>
        <v>5.683862815884477</v>
      </c>
      <c r="E12" s="51">
        <f t="shared" si="1"/>
        <v>-52251.14</v>
      </c>
    </row>
    <row r="13" spans="1:5" ht="27.75" customHeight="1">
      <c r="A13" s="17" t="s">
        <v>151</v>
      </c>
      <c r="B13" s="26">
        <v>0</v>
      </c>
      <c r="C13" s="26">
        <v>0</v>
      </c>
      <c r="D13" s="27" t="str">
        <f t="shared" si="0"/>
        <v>   </v>
      </c>
      <c r="E13" s="51">
        <f t="shared" si="1"/>
        <v>0</v>
      </c>
    </row>
    <row r="14" spans="1:5" ht="27.75" customHeight="1">
      <c r="A14" s="17" t="s">
        <v>41</v>
      </c>
      <c r="B14" s="26">
        <f>SUM(B15:B16)</f>
        <v>58000</v>
      </c>
      <c r="C14" s="26">
        <f>SUM(C15:C16)</f>
        <v>14752.44</v>
      </c>
      <c r="D14" s="27">
        <f t="shared" si="0"/>
        <v>25.435241379310348</v>
      </c>
      <c r="E14" s="51">
        <f t="shared" si="1"/>
        <v>-43247.56</v>
      </c>
    </row>
    <row r="15" spans="1:5" ht="12.75" customHeight="1">
      <c r="A15" s="17" t="s">
        <v>42</v>
      </c>
      <c r="B15" s="26">
        <v>50000</v>
      </c>
      <c r="C15" s="26">
        <v>14752.44</v>
      </c>
      <c r="D15" s="27">
        <f t="shared" si="0"/>
        <v>29.50488</v>
      </c>
      <c r="E15" s="51">
        <f t="shared" si="1"/>
        <v>-35247.56</v>
      </c>
    </row>
    <row r="16" spans="1:5" ht="26.25" customHeight="1">
      <c r="A16" s="17" t="s">
        <v>43</v>
      </c>
      <c r="B16" s="26">
        <v>8000</v>
      </c>
      <c r="C16" s="26">
        <v>0</v>
      </c>
      <c r="D16" s="27">
        <f t="shared" si="0"/>
        <v>0</v>
      </c>
      <c r="E16" s="51">
        <f t="shared" si="1"/>
        <v>-8000</v>
      </c>
    </row>
    <row r="17" spans="1:5" ht="15.75" customHeight="1">
      <c r="A17" s="44" t="s">
        <v>156</v>
      </c>
      <c r="B17" s="26">
        <v>0</v>
      </c>
      <c r="C17" s="28">
        <v>2627.39</v>
      </c>
      <c r="D17" s="27" t="str">
        <f t="shared" si="0"/>
        <v>   </v>
      </c>
      <c r="E17" s="51">
        <f t="shared" si="1"/>
        <v>2627.39</v>
      </c>
    </row>
    <row r="18" spans="1:5" ht="15.75" customHeight="1">
      <c r="A18" s="17" t="s">
        <v>112</v>
      </c>
      <c r="B18" s="25">
        <f>B19</f>
        <v>0</v>
      </c>
      <c r="C18" s="25">
        <f>C19</f>
        <v>3955.9</v>
      </c>
      <c r="D18" s="27" t="str">
        <f t="shared" si="0"/>
        <v>   </v>
      </c>
      <c r="E18" s="51">
        <f t="shared" si="1"/>
        <v>3955.9</v>
      </c>
    </row>
    <row r="19" spans="1:5" ht="27.75" customHeight="1">
      <c r="A19" s="17" t="s">
        <v>113</v>
      </c>
      <c r="B19" s="26">
        <v>0</v>
      </c>
      <c r="C19" s="28">
        <v>3955.9</v>
      </c>
      <c r="D19" s="27" t="str">
        <f t="shared" si="0"/>
        <v>   </v>
      </c>
      <c r="E19" s="51">
        <f t="shared" si="1"/>
        <v>3955.9</v>
      </c>
    </row>
    <row r="20" spans="1:5" ht="13.5" customHeight="1">
      <c r="A20" s="17" t="s">
        <v>45</v>
      </c>
      <c r="B20" s="26">
        <f>SUM(B21:B22)</f>
        <v>0</v>
      </c>
      <c r="C20" s="26">
        <f>SUM(C21:C22)</f>
        <v>6073.13</v>
      </c>
      <c r="D20" s="27" t="str">
        <f t="shared" si="0"/>
        <v>   </v>
      </c>
      <c r="E20" s="51">
        <f t="shared" si="1"/>
        <v>6073.13</v>
      </c>
    </row>
    <row r="21" spans="1:5" ht="13.5" customHeight="1">
      <c r="A21" s="17" t="s">
        <v>200</v>
      </c>
      <c r="B21" s="26">
        <v>0</v>
      </c>
      <c r="C21" s="26">
        <v>273.13</v>
      </c>
      <c r="D21" s="27"/>
      <c r="E21" s="51"/>
    </row>
    <row r="22" spans="1:5" ht="15" customHeight="1">
      <c r="A22" s="17" t="s">
        <v>71</v>
      </c>
      <c r="B22" s="26">
        <v>0</v>
      </c>
      <c r="C22" s="28">
        <v>5800</v>
      </c>
      <c r="D22" s="27" t="str">
        <f t="shared" si="0"/>
        <v>   </v>
      </c>
      <c r="E22" s="51">
        <f t="shared" si="1"/>
        <v>5800</v>
      </c>
    </row>
    <row r="23" spans="1:5" ht="13.5" customHeight="1">
      <c r="A23" s="17" t="s">
        <v>44</v>
      </c>
      <c r="B23" s="26">
        <v>0</v>
      </c>
      <c r="C23" s="26">
        <v>0</v>
      </c>
      <c r="D23" s="27" t="str">
        <f t="shared" si="0"/>
        <v>   </v>
      </c>
      <c r="E23" s="51">
        <f t="shared" si="1"/>
        <v>0</v>
      </c>
    </row>
    <row r="24" spans="1:5" ht="16.5" customHeight="1">
      <c r="A24" s="16" t="s">
        <v>11</v>
      </c>
      <c r="B24" s="52">
        <f>SUM(B6,B8,B10,B13,B14,B17,B18,B22,B23,)</f>
        <v>269400</v>
      </c>
      <c r="C24" s="52">
        <f>SUM(C6,C8,C10,C13,C14,C17,C18,C20,C23)</f>
        <v>85854.18</v>
      </c>
      <c r="D24" s="27">
        <f t="shared" si="0"/>
        <v>31.868663697104676</v>
      </c>
      <c r="E24" s="51">
        <f t="shared" si="1"/>
        <v>-183545.82</v>
      </c>
    </row>
    <row r="25" spans="1:5" ht="18" customHeight="1">
      <c r="A25" s="18" t="s">
        <v>47</v>
      </c>
      <c r="B25" s="25">
        <v>1262600</v>
      </c>
      <c r="C25" s="25">
        <v>502000</v>
      </c>
      <c r="D25" s="27">
        <f t="shared" si="0"/>
        <v>39.75922699192143</v>
      </c>
      <c r="E25" s="51">
        <f t="shared" si="1"/>
        <v>-760600</v>
      </c>
    </row>
    <row r="26" spans="1:5" ht="15.75" customHeight="1">
      <c r="A26" s="17" t="s">
        <v>68</v>
      </c>
      <c r="B26" s="26">
        <v>170000</v>
      </c>
      <c r="C26" s="28">
        <v>0</v>
      </c>
      <c r="D26" s="27">
        <f t="shared" si="0"/>
        <v>0</v>
      </c>
      <c r="E26" s="51">
        <f t="shared" si="1"/>
        <v>-170000</v>
      </c>
    </row>
    <row r="27" spans="1:5" ht="26.25" customHeight="1">
      <c r="A27" s="17" t="s">
        <v>72</v>
      </c>
      <c r="B27" s="26">
        <v>45900</v>
      </c>
      <c r="C27" s="26">
        <v>45900</v>
      </c>
      <c r="D27" s="27">
        <f t="shared" si="0"/>
        <v>100</v>
      </c>
      <c r="E27" s="51">
        <f t="shared" si="1"/>
        <v>0</v>
      </c>
    </row>
    <row r="28" spans="1:5" ht="27.75" customHeight="1">
      <c r="A28" s="44" t="s">
        <v>167</v>
      </c>
      <c r="B28" s="26">
        <v>100</v>
      </c>
      <c r="C28" s="28">
        <v>100</v>
      </c>
      <c r="D28" s="27">
        <f t="shared" si="0"/>
        <v>100</v>
      </c>
      <c r="E28" s="51">
        <f t="shared" si="1"/>
        <v>0</v>
      </c>
    </row>
    <row r="29" spans="1:5" ht="26.25" customHeight="1">
      <c r="A29" s="17" t="s">
        <v>123</v>
      </c>
      <c r="B29" s="26">
        <v>109400</v>
      </c>
      <c r="C29" s="26">
        <v>0</v>
      </c>
      <c r="D29" s="27">
        <f t="shared" si="0"/>
        <v>0</v>
      </c>
      <c r="E29" s="51">
        <f t="shared" si="1"/>
        <v>-109400</v>
      </c>
    </row>
    <row r="30" spans="1:5" ht="27" customHeight="1">
      <c r="A30" s="17" t="s">
        <v>203</v>
      </c>
      <c r="B30" s="26">
        <v>207600</v>
      </c>
      <c r="C30" s="26">
        <v>0</v>
      </c>
      <c r="D30" s="27">
        <f t="shared" si="0"/>
        <v>0</v>
      </c>
      <c r="E30" s="51">
        <f t="shared" si="1"/>
        <v>-207600</v>
      </c>
    </row>
    <row r="31" spans="1:5" ht="30" customHeight="1">
      <c r="A31" s="17" t="s">
        <v>182</v>
      </c>
      <c r="B31" s="26">
        <v>0</v>
      </c>
      <c r="C31" s="26">
        <v>0</v>
      </c>
      <c r="D31" s="27" t="str">
        <f t="shared" si="0"/>
        <v>   </v>
      </c>
      <c r="E31" s="51">
        <f t="shared" si="1"/>
        <v>0</v>
      </c>
    </row>
    <row r="32" spans="1:5" ht="26.25" customHeight="1">
      <c r="A32" s="17" t="s">
        <v>177</v>
      </c>
      <c r="B32" s="26">
        <v>3800</v>
      </c>
      <c r="C32" s="26">
        <v>0</v>
      </c>
      <c r="D32" s="27">
        <f t="shared" si="0"/>
        <v>0</v>
      </c>
      <c r="E32" s="51">
        <f t="shared" si="1"/>
        <v>-3800</v>
      </c>
    </row>
    <row r="33" spans="1:5" ht="40.5" customHeight="1">
      <c r="A33" s="17" t="s">
        <v>183</v>
      </c>
      <c r="B33" s="26">
        <v>0</v>
      </c>
      <c r="C33" s="26">
        <v>0</v>
      </c>
      <c r="D33" s="27" t="str">
        <f t="shared" si="0"/>
        <v>   </v>
      </c>
      <c r="E33" s="51">
        <f t="shared" si="1"/>
        <v>0</v>
      </c>
    </row>
    <row r="34" spans="1:5" ht="15" customHeight="1">
      <c r="A34" s="17" t="s">
        <v>79</v>
      </c>
      <c r="B34" s="28">
        <f>B35</f>
        <v>180000</v>
      </c>
      <c r="C34" s="28">
        <f>C35</f>
        <v>30000</v>
      </c>
      <c r="D34" s="27">
        <f t="shared" si="0"/>
        <v>16.666666666666664</v>
      </c>
      <c r="E34" s="51">
        <f t="shared" si="1"/>
        <v>-150000</v>
      </c>
    </row>
    <row r="35" spans="1:5" s="7" customFormat="1" ht="14.25" customHeight="1">
      <c r="A35" s="65" t="s">
        <v>216</v>
      </c>
      <c r="B35" s="66">
        <v>180000</v>
      </c>
      <c r="C35" s="28">
        <v>30000</v>
      </c>
      <c r="D35" s="66">
        <f t="shared" si="0"/>
        <v>16.666666666666664</v>
      </c>
      <c r="E35" s="45">
        <f t="shared" si="1"/>
        <v>-150000</v>
      </c>
    </row>
    <row r="36" spans="1:5" ht="17.25" customHeight="1">
      <c r="A36" s="17" t="s">
        <v>48</v>
      </c>
      <c r="B36" s="26">
        <v>0</v>
      </c>
      <c r="C36" s="28">
        <v>0</v>
      </c>
      <c r="D36" s="27" t="str">
        <f t="shared" si="0"/>
        <v>   </v>
      </c>
      <c r="E36" s="51">
        <f t="shared" si="1"/>
        <v>0</v>
      </c>
    </row>
    <row r="37" spans="1:5" ht="18" customHeight="1">
      <c r="A37" s="16" t="s">
        <v>14</v>
      </c>
      <c r="B37" s="137">
        <f>SUM(B24,B25,B26:B34,B36)</f>
        <v>2248800</v>
      </c>
      <c r="C37" s="137">
        <f>SUM(C24,C25,C26:C34,C36)</f>
        <v>663854.1799999999</v>
      </c>
      <c r="D37" s="27">
        <f t="shared" si="0"/>
        <v>29.520374421913907</v>
      </c>
      <c r="E37" s="51">
        <f t="shared" si="1"/>
        <v>-1584945.82</v>
      </c>
    </row>
    <row r="38" spans="1:5" ht="15" customHeight="1">
      <c r="A38" s="23" t="s">
        <v>15</v>
      </c>
      <c r="B38" s="53"/>
      <c r="C38" s="54"/>
      <c r="D38" s="27" t="str">
        <f t="shared" si="0"/>
        <v>   </v>
      </c>
      <c r="E38" s="51">
        <f t="shared" si="1"/>
        <v>0</v>
      </c>
    </row>
    <row r="39" spans="1:5" ht="13.5" customHeight="1">
      <c r="A39" s="17" t="s">
        <v>49</v>
      </c>
      <c r="B39" s="26">
        <v>773160</v>
      </c>
      <c r="C39" s="26">
        <v>288695.29</v>
      </c>
      <c r="D39" s="27">
        <f t="shared" si="0"/>
        <v>37.33965673340576</v>
      </c>
      <c r="E39" s="51">
        <f t="shared" si="1"/>
        <v>-484464.71</v>
      </c>
    </row>
    <row r="40" spans="1:5" ht="15.75" customHeight="1">
      <c r="A40" s="17" t="s">
        <v>50</v>
      </c>
      <c r="B40" s="26">
        <v>757800</v>
      </c>
      <c r="C40" s="26">
        <v>284765.87</v>
      </c>
      <c r="D40" s="27">
        <f t="shared" si="0"/>
        <v>37.577971760358935</v>
      </c>
      <c r="E40" s="51">
        <f t="shared" si="1"/>
        <v>-473034.13</v>
      </c>
    </row>
    <row r="41" spans="1:5" ht="14.25" customHeight="1">
      <c r="A41" s="123" t="s">
        <v>263</v>
      </c>
      <c r="B41" s="26">
        <v>476900</v>
      </c>
      <c r="C41" s="29">
        <v>161411.61</v>
      </c>
      <c r="D41" s="27">
        <f t="shared" si="0"/>
        <v>33.846007548752354</v>
      </c>
      <c r="E41" s="51">
        <f t="shared" si="1"/>
        <v>-315488.39</v>
      </c>
    </row>
    <row r="42" spans="1:5" ht="12.75">
      <c r="A42" s="17" t="s">
        <v>217</v>
      </c>
      <c r="B42" s="26">
        <v>100</v>
      </c>
      <c r="C42" s="29">
        <v>0</v>
      </c>
      <c r="D42" s="27">
        <f t="shared" si="0"/>
        <v>0</v>
      </c>
      <c r="E42" s="51">
        <f t="shared" si="1"/>
        <v>-100</v>
      </c>
    </row>
    <row r="43" spans="1:5" ht="12.75" customHeight="1">
      <c r="A43" s="17" t="s">
        <v>169</v>
      </c>
      <c r="B43" s="26">
        <v>500</v>
      </c>
      <c r="C43" s="28">
        <v>0</v>
      </c>
      <c r="D43" s="27">
        <f t="shared" si="0"/>
        <v>0</v>
      </c>
      <c r="E43" s="51">
        <f t="shared" si="1"/>
        <v>-500</v>
      </c>
    </row>
    <row r="44" spans="1:5" ht="12.75" customHeight="1">
      <c r="A44" s="17" t="s">
        <v>74</v>
      </c>
      <c r="B44" s="26">
        <f>B45</f>
        <v>14860</v>
      </c>
      <c r="C44" s="26">
        <f>C45</f>
        <v>3929.42</v>
      </c>
      <c r="D44" s="27"/>
      <c r="E44" s="51"/>
    </row>
    <row r="45" spans="1:5" ht="18.75" customHeight="1">
      <c r="A45" s="17" t="s">
        <v>93</v>
      </c>
      <c r="B45" s="26">
        <v>14860</v>
      </c>
      <c r="C45" s="28">
        <v>3929.42</v>
      </c>
      <c r="D45" s="27"/>
      <c r="E45" s="51"/>
    </row>
    <row r="46" spans="1:5" ht="14.25" customHeight="1">
      <c r="A46" s="17" t="s">
        <v>70</v>
      </c>
      <c r="B46" s="28">
        <f>SUM(B47)</f>
        <v>45900</v>
      </c>
      <c r="C46" s="28">
        <f>SUM(C47)</f>
        <v>15860.7</v>
      </c>
      <c r="D46" s="27">
        <f t="shared" si="0"/>
        <v>34.55490196078432</v>
      </c>
      <c r="E46" s="51">
        <f t="shared" si="1"/>
        <v>-30039.3</v>
      </c>
    </row>
    <row r="47" spans="1:5" ht="13.5" customHeight="1">
      <c r="A47" s="44" t="s">
        <v>212</v>
      </c>
      <c r="B47" s="26">
        <v>45900</v>
      </c>
      <c r="C47" s="28">
        <v>15860.7</v>
      </c>
      <c r="D47" s="27">
        <f t="shared" si="0"/>
        <v>34.55490196078432</v>
      </c>
      <c r="E47" s="51">
        <f t="shared" si="1"/>
        <v>-30039.3</v>
      </c>
    </row>
    <row r="48" spans="1:5" ht="17.25" customHeight="1">
      <c r="A48" s="17" t="s">
        <v>51</v>
      </c>
      <c r="B48" s="26">
        <f>SUM(B49)</f>
        <v>500</v>
      </c>
      <c r="C48" s="28">
        <f>SUM(C49)</f>
        <v>0</v>
      </c>
      <c r="D48" s="27">
        <f t="shared" si="0"/>
        <v>0</v>
      </c>
      <c r="E48" s="51">
        <f t="shared" si="1"/>
        <v>-500</v>
      </c>
    </row>
    <row r="49" spans="1:5" ht="27" customHeight="1">
      <c r="A49" s="49" t="s">
        <v>154</v>
      </c>
      <c r="B49" s="26">
        <v>500</v>
      </c>
      <c r="C49" s="28">
        <v>0</v>
      </c>
      <c r="D49" s="27">
        <f t="shared" si="0"/>
        <v>0</v>
      </c>
      <c r="E49" s="51">
        <f t="shared" si="1"/>
        <v>-500</v>
      </c>
    </row>
    <row r="50" spans="1:5" ht="15" customHeight="1">
      <c r="A50" s="17" t="s">
        <v>52</v>
      </c>
      <c r="B50" s="26">
        <v>0</v>
      </c>
      <c r="C50" s="26">
        <v>0</v>
      </c>
      <c r="D50" s="27" t="str">
        <f t="shared" si="0"/>
        <v>   </v>
      </c>
      <c r="E50" s="51">
        <f t="shared" si="1"/>
        <v>0</v>
      </c>
    </row>
    <row r="51" spans="1:5" ht="15" customHeight="1">
      <c r="A51" s="17" t="s">
        <v>16</v>
      </c>
      <c r="B51" s="26">
        <f>SUM(B54,B52)</f>
        <v>487940</v>
      </c>
      <c r="C51" s="26">
        <f>SUM(C54,C52)</f>
        <v>163140.04</v>
      </c>
      <c r="D51" s="27">
        <f t="shared" si="0"/>
        <v>33.43444685822028</v>
      </c>
      <c r="E51" s="51">
        <f t="shared" si="1"/>
        <v>-324799.95999999996</v>
      </c>
    </row>
    <row r="52" spans="1:5" ht="15" customHeight="1">
      <c r="A52" s="17" t="s">
        <v>155</v>
      </c>
      <c r="B52" s="26">
        <v>1640</v>
      </c>
      <c r="C52" s="26">
        <v>1639.75</v>
      </c>
      <c r="D52" s="27">
        <f t="shared" si="0"/>
        <v>99.98475609756098</v>
      </c>
      <c r="E52" s="51">
        <f t="shared" si="1"/>
        <v>-0.25</v>
      </c>
    </row>
    <row r="53" spans="1:5" ht="15" customHeight="1">
      <c r="A53" s="123" t="s">
        <v>289</v>
      </c>
      <c r="B53" s="26">
        <v>1640</v>
      </c>
      <c r="C53" s="26">
        <v>1639.75</v>
      </c>
      <c r="D53" s="27">
        <f t="shared" si="0"/>
        <v>99.98475609756098</v>
      </c>
      <c r="E53" s="51">
        <f t="shared" si="1"/>
        <v>-0.25</v>
      </c>
    </row>
    <row r="54" spans="1:5" ht="15" customHeight="1">
      <c r="A54" s="17" t="s">
        <v>87</v>
      </c>
      <c r="B54" s="26">
        <v>486300</v>
      </c>
      <c r="C54" s="26">
        <v>161500.29</v>
      </c>
      <c r="D54" s="27">
        <f t="shared" si="0"/>
        <v>33.210012338062924</v>
      </c>
      <c r="E54" s="51">
        <f t="shared" si="1"/>
        <v>-324799.70999999996</v>
      </c>
    </row>
    <row r="55" spans="1:5" ht="15" customHeight="1">
      <c r="A55" s="17" t="s">
        <v>89</v>
      </c>
      <c r="B55" s="26">
        <v>156300</v>
      </c>
      <c r="C55" s="28">
        <v>101500.29</v>
      </c>
      <c r="D55" s="27">
        <f t="shared" si="0"/>
        <v>64.93940499040308</v>
      </c>
      <c r="E55" s="51">
        <f t="shared" si="1"/>
        <v>-54799.71000000001</v>
      </c>
    </row>
    <row r="56" spans="1:5" ht="15" customHeight="1">
      <c r="A56" s="17" t="s">
        <v>133</v>
      </c>
      <c r="B56" s="26">
        <v>180000</v>
      </c>
      <c r="C56" s="28">
        <v>30000</v>
      </c>
      <c r="D56" s="27">
        <f t="shared" si="0"/>
        <v>16.666666666666664</v>
      </c>
      <c r="E56" s="51">
        <f t="shared" si="1"/>
        <v>-150000</v>
      </c>
    </row>
    <row r="57" spans="1:5" ht="15" customHeight="1">
      <c r="A57" s="17" t="s">
        <v>134</v>
      </c>
      <c r="B57" s="26">
        <v>100000</v>
      </c>
      <c r="C57" s="28">
        <v>30000</v>
      </c>
      <c r="D57" s="27">
        <f t="shared" si="0"/>
        <v>30</v>
      </c>
      <c r="E57" s="51">
        <f t="shared" si="1"/>
        <v>-70000</v>
      </c>
    </row>
    <row r="58" spans="1:5" ht="13.5" customHeight="1">
      <c r="A58" s="17" t="s">
        <v>88</v>
      </c>
      <c r="B58" s="26">
        <v>50000</v>
      </c>
      <c r="C58" s="28">
        <v>0</v>
      </c>
      <c r="D58" s="27">
        <f t="shared" si="0"/>
        <v>0</v>
      </c>
      <c r="E58" s="51">
        <f t="shared" si="1"/>
        <v>-50000</v>
      </c>
    </row>
    <row r="59" spans="1:5" ht="15">
      <c r="A59" s="19" t="s">
        <v>25</v>
      </c>
      <c r="B59" s="32">
        <v>15000</v>
      </c>
      <c r="C59" s="32">
        <v>1835</v>
      </c>
      <c r="D59" s="27">
        <f t="shared" si="0"/>
        <v>12.233333333333334</v>
      </c>
      <c r="E59" s="51">
        <f t="shared" si="1"/>
        <v>-13165</v>
      </c>
    </row>
    <row r="60" spans="1:5" ht="15.75" customHeight="1">
      <c r="A60" s="17" t="s">
        <v>55</v>
      </c>
      <c r="B60" s="25">
        <f>B61</f>
        <v>513600</v>
      </c>
      <c r="C60" s="25">
        <f>C61</f>
        <v>202032.3</v>
      </c>
      <c r="D60" s="27">
        <f t="shared" si="0"/>
        <v>39.336507009345794</v>
      </c>
      <c r="E60" s="51">
        <f t="shared" si="1"/>
        <v>-311567.7</v>
      </c>
    </row>
    <row r="61" spans="1:5" ht="12.75">
      <c r="A61" s="17" t="s">
        <v>56</v>
      </c>
      <c r="B61" s="26">
        <v>513600</v>
      </c>
      <c r="C61" s="28">
        <v>202032.3</v>
      </c>
      <c r="D61" s="27">
        <f t="shared" si="0"/>
        <v>39.336507009345794</v>
      </c>
      <c r="E61" s="51">
        <f t="shared" si="1"/>
        <v>-311567.7</v>
      </c>
    </row>
    <row r="62" spans="1:5" ht="12.75">
      <c r="A62" s="123" t="s">
        <v>264</v>
      </c>
      <c r="B62" s="26">
        <v>250300</v>
      </c>
      <c r="C62" s="28">
        <v>87683.45</v>
      </c>
      <c r="D62" s="27">
        <f t="shared" si="0"/>
        <v>35.031342389133044</v>
      </c>
      <c r="E62" s="51">
        <f t="shared" si="1"/>
        <v>-162616.55</v>
      </c>
    </row>
    <row r="63" spans="1:5" ht="13.5" customHeight="1">
      <c r="A63" s="17" t="s">
        <v>205</v>
      </c>
      <c r="B63" s="26">
        <f>SUM(B64:B66)</f>
        <v>52500</v>
      </c>
      <c r="C63" s="26">
        <f>SUM(C64:C66)</f>
        <v>52500</v>
      </c>
      <c r="D63" s="27">
        <f t="shared" si="0"/>
        <v>100</v>
      </c>
      <c r="E63" s="51">
        <f t="shared" si="1"/>
        <v>0</v>
      </c>
    </row>
    <row r="64" spans="1:5" ht="13.5" customHeight="1">
      <c r="A64" s="17" t="s">
        <v>206</v>
      </c>
      <c r="B64" s="26">
        <v>52500</v>
      </c>
      <c r="C64" s="28">
        <v>52500</v>
      </c>
      <c r="D64" s="27">
        <f t="shared" si="0"/>
        <v>100</v>
      </c>
      <c r="E64" s="51">
        <f t="shared" si="1"/>
        <v>0</v>
      </c>
    </row>
    <row r="65" spans="1:5" ht="13.5" customHeight="1">
      <c r="A65" s="17" t="s">
        <v>238</v>
      </c>
      <c r="B65" s="26">
        <v>0</v>
      </c>
      <c r="C65" s="28">
        <v>0</v>
      </c>
      <c r="D65" s="27" t="str">
        <f t="shared" si="0"/>
        <v>   </v>
      </c>
      <c r="E65" s="51">
        <f t="shared" si="1"/>
        <v>0</v>
      </c>
    </row>
    <row r="66" spans="1:5" ht="13.5" customHeight="1">
      <c r="A66" s="17" t="s">
        <v>207</v>
      </c>
      <c r="B66" s="26">
        <v>0</v>
      </c>
      <c r="C66" s="28">
        <v>0</v>
      </c>
      <c r="D66" s="27" t="str">
        <f t="shared" si="0"/>
        <v>   </v>
      </c>
      <c r="E66" s="51">
        <f t="shared" si="1"/>
        <v>0</v>
      </c>
    </row>
    <row r="67" spans="1:5" ht="14.25" customHeight="1">
      <c r="A67" s="17" t="s">
        <v>213</v>
      </c>
      <c r="B67" s="26">
        <v>3800</v>
      </c>
      <c r="C67" s="28">
        <v>0</v>
      </c>
      <c r="D67" s="27">
        <f t="shared" si="0"/>
        <v>0</v>
      </c>
      <c r="E67" s="51">
        <f t="shared" si="1"/>
        <v>-3800</v>
      </c>
    </row>
    <row r="68" spans="1:5" ht="12.75">
      <c r="A68" s="17" t="s">
        <v>271</v>
      </c>
      <c r="B68" s="26">
        <f>SUM(B69,)</f>
        <v>30000</v>
      </c>
      <c r="C68" s="26">
        <f>SUM(C69,)</f>
        <v>11000</v>
      </c>
      <c r="D68" s="27">
        <f t="shared" si="0"/>
        <v>36.666666666666664</v>
      </c>
      <c r="E68" s="51">
        <f t="shared" si="1"/>
        <v>-19000</v>
      </c>
    </row>
    <row r="69" spans="1:5" ht="12.75">
      <c r="A69" s="17" t="s">
        <v>57</v>
      </c>
      <c r="B69" s="26">
        <v>30000</v>
      </c>
      <c r="C69" s="29">
        <v>11000</v>
      </c>
      <c r="D69" s="27">
        <f t="shared" si="0"/>
        <v>36.666666666666664</v>
      </c>
      <c r="E69" s="51">
        <f t="shared" si="1"/>
        <v>-19000</v>
      </c>
    </row>
    <row r="70" spans="1:5" ht="12.75">
      <c r="A70" s="17" t="s">
        <v>18</v>
      </c>
      <c r="B70" s="26">
        <f>B71</f>
        <v>440700</v>
      </c>
      <c r="C70" s="26">
        <f>C71</f>
        <v>0</v>
      </c>
      <c r="D70" s="27">
        <f aca="true" t="shared" si="2" ref="D70:D93">IF(B70=0,"   ",C70/B70*100)</f>
        <v>0</v>
      </c>
      <c r="E70" s="51">
        <f t="shared" si="1"/>
        <v>-440700</v>
      </c>
    </row>
    <row r="71" spans="1:5" ht="12.75">
      <c r="A71" s="17" t="s">
        <v>278</v>
      </c>
      <c r="B71" s="26">
        <f>SUM(B88,B81,B72)</f>
        <v>440700</v>
      </c>
      <c r="C71" s="26">
        <f>SUM(C88,C81,C72)</f>
        <v>0</v>
      </c>
      <c r="D71" s="27">
        <f t="shared" si="2"/>
        <v>0</v>
      </c>
      <c r="E71" s="51">
        <f t="shared" si="1"/>
        <v>-440700</v>
      </c>
    </row>
    <row r="72" spans="1:5" ht="14.25" customHeight="1">
      <c r="A72" s="126" t="s">
        <v>279</v>
      </c>
      <c r="B72" s="127">
        <f>SUM(B73,B77)</f>
        <v>273800</v>
      </c>
      <c r="C72" s="127">
        <f>SUM(C73:C77)</f>
        <v>0</v>
      </c>
      <c r="D72" s="27">
        <f t="shared" si="2"/>
        <v>0</v>
      </c>
      <c r="E72" s="51">
        <f t="shared" si="1"/>
        <v>-273800</v>
      </c>
    </row>
    <row r="73" spans="1:5" ht="12.75">
      <c r="A73" s="123" t="s">
        <v>284</v>
      </c>
      <c r="B73" s="121">
        <f>SUM(B74:B76)</f>
        <v>96300</v>
      </c>
      <c r="C73" s="121">
        <f>SUM(C74:C76)</f>
        <v>0</v>
      </c>
      <c r="D73" s="27">
        <f t="shared" si="2"/>
        <v>0</v>
      </c>
      <c r="E73" s="51">
        <f t="shared" si="1"/>
        <v>-96300</v>
      </c>
    </row>
    <row r="74" spans="1:5" ht="12.75">
      <c r="A74" s="49" t="s">
        <v>292</v>
      </c>
      <c r="B74" s="121">
        <v>0</v>
      </c>
      <c r="C74" s="26"/>
      <c r="D74" s="27" t="str">
        <f t="shared" si="2"/>
        <v>   </v>
      </c>
      <c r="E74" s="51">
        <f t="shared" si="1"/>
        <v>0</v>
      </c>
    </row>
    <row r="75" spans="1:5" ht="12.75">
      <c r="A75" s="49" t="s">
        <v>293</v>
      </c>
      <c r="B75" s="121">
        <v>0</v>
      </c>
      <c r="C75" s="26"/>
      <c r="D75" s="27" t="str">
        <f t="shared" si="2"/>
        <v>   </v>
      </c>
      <c r="E75" s="51">
        <f t="shared" si="1"/>
        <v>0</v>
      </c>
    </row>
    <row r="76" spans="1:5" ht="12.75">
      <c r="A76" s="49" t="s">
        <v>294</v>
      </c>
      <c r="B76" s="121">
        <v>96300</v>
      </c>
      <c r="C76" s="26">
        <v>0</v>
      </c>
      <c r="D76" s="27">
        <f t="shared" si="2"/>
        <v>0</v>
      </c>
      <c r="E76" s="51">
        <f t="shared" si="1"/>
        <v>-96300</v>
      </c>
    </row>
    <row r="77" spans="1:5" ht="25.5">
      <c r="A77" s="123" t="s">
        <v>283</v>
      </c>
      <c r="B77" s="121">
        <f>SUM(B78:B80)</f>
        <v>177500</v>
      </c>
      <c r="C77" s="121">
        <f>SUM(C78:C80)</f>
        <v>0</v>
      </c>
      <c r="D77" s="27">
        <f t="shared" si="2"/>
        <v>0</v>
      </c>
      <c r="E77" s="51">
        <f t="shared" si="1"/>
        <v>-177500</v>
      </c>
    </row>
    <row r="78" spans="1:5" ht="12.75">
      <c r="A78" s="49" t="s">
        <v>292</v>
      </c>
      <c r="B78" s="121">
        <v>177500</v>
      </c>
      <c r="C78" s="26">
        <v>0</v>
      </c>
      <c r="D78" s="27">
        <f t="shared" si="2"/>
        <v>0</v>
      </c>
      <c r="E78" s="51">
        <f t="shared" si="1"/>
        <v>-177500</v>
      </c>
    </row>
    <row r="79" spans="1:5" ht="12.75">
      <c r="A79" s="49" t="s">
        <v>293</v>
      </c>
      <c r="C79" s="26"/>
      <c r="D79" s="27" t="str">
        <f t="shared" si="2"/>
        <v>   </v>
      </c>
      <c r="E79" s="51">
        <f t="shared" si="1"/>
        <v>0</v>
      </c>
    </row>
    <row r="80" spans="1:5" ht="12.75">
      <c r="A80" s="49" t="s">
        <v>294</v>
      </c>
      <c r="B80" s="121"/>
      <c r="C80" s="26"/>
      <c r="D80" s="27" t="str">
        <f t="shared" si="2"/>
        <v>   </v>
      </c>
      <c r="E80" s="51">
        <f t="shared" si="1"/>
        <v>0</v>
      </c>
    </row>
    <row r="81" spans="1:5" ht="18" customHeight="1">
      <c r="A81" s="126" t="s">
        <v>280</v>
      </c>
      <c r="B81" s="127">
        <f>SUM(B82,B85)</f>
        <v>30100</v>
      </c>
      <c r="C81" s="127">
        <f>SUM(C82:C85)</f>
        <v>0</v>
      </c>
      <c r="D81" s="27">
        <f t="shared" si="2"/>
        <v>0</v>
      </c>
      <c r="E81" s="51">
        <f t="shared" si="1"/>
        <v>-30100</v>
      </c>
    </row>
    <row r="82" spans="1:5" ht="13.5" customHeight="1">
      <c r="A82" s="123" t="s">
        <v>284</v>
      </c>
      <c r="B82" s="121">
        <f>SUM(B83:B84)</f>
        <v>0</v>
      </c>
      <c r="C82" s="121">
        <f>SUM(C83:C84)</f>
        <v>0</v>
      </c>
      <c r="D82" s="27" t="str">
        <f t="shared" si="2"/>
        <v>   </v>
      </c>
      <c r="E82" s="51">
        <f t="shared" si="1"/>
        <v>0</v>
      </c>
    </row>
    <row r="83" spans="1:5" ht="13.5" customHeight="1">
      <c r="A83" s="49" t="s">
        <v>293</v>
      </c>
      <c r="B83" s="121">
        <v>0</v>
      </c>
      <c r="C83" s="28">
        <v>0</v>
      </c>
      <c r="D83" s="27" t="str">
        <f t="shared" si="2"/>
        <v>   </v>
      </c>
      <c r="E83" s="51">
        <f t="shared" si="1"/>
        <v>0</v>
      </c>
    </row>
    <row r="84" spans="1:5" ht="13.5" customHeight="1">
      <c r="A84" s="49" t="s">
        <v>294</v>
      </c>
      <c r="B84" s="121">
        <v>0</v>
      </c>
      <c r="C84" s="28">
        <v>0</v>
      </c>
      <c r="D84" s="27" t="str">
        <f t="shared" si="2"/>
        <v>   </v>
      </c>
      <c r="E84" s="51">
        <f t="shared" si="1"/>
        <v>0</v>
      </c>
    </row>
    <row r="85" spans="1:5" ht="27" customHeight="1">
      <c r="A85" s="123" t="s">
        <v>283</v>
      </c>
      <c r="B85" s="121">
        <f>SUM(B86:B87)</f>
        <v>30100</v>
      </c>
      <c r="C85" s="121">
        <f>SUM(C86:C87)</f>
        <v>0</v>
      </c>
      <c r="D85" s="27">
        <f t="shared" si="2"/>
        <v>0</v>
      </c>
      <c r="E85" s="51">
        <f t="shared" si="1"/>
        <v>-30100</v>
      </c>
    </row>
    <row r="86" spans="1:5" ht="15.75" customHeight="1">
      <c r="A86" s="49" t="s">
        <v>293</v>
      </c>
      <c r="B86">
        <v>30100</v>
      </c>
      <c r="C86" s="28">
        <v>0</v>
      </c>
      <c r="D86" s="27">
        <f t="shared" si="2"/>
        <v>0</v>
      </c>
      <c r="E86" s="51">
        <f t="shared" si="1"/>
        <v>-30100</v>
      </c>
    </row>
    <row r="87" spans="1:5" ht="15" customHeight="1">
      <c r="A87" s="49" t="s">
        <v>294</v>
      </c>
      <c r="B87" s="121">
        <v>0</v>
      </c>
      <c r="C87" s="28">
        <v>0</v>
      </c>
      <c r="D87" s="27" t="str">
        <f t="shared" si="2"/>
        <v>   </v>
      </c>
      <c r="E87" s="51">
        <f t="shared" si="1"/>
        <v>0</v>
      </c>
    </row>
    <row r="88" spans="1:5" ht="15.75" customHeight="1">
      <c r="A88" s="126" t="s">
        <v>285</v>
      </c>
      <c r="B88" s="127">
        <f>SUM(B89:B91)</f>
        <v>136800</v>
      </c>
      <c r="C88" s="127">
        <f>SUM(C89:C91)</f>
        <v>0</v>
      </c>
      <c r="D88" s="27">
        <f t="shared" si="2"/>
        <v>0</v>
      </c>
      <c r="E88" s="51">
        <f t="shared" si="1"/>
        <v>-136800</v>
      </c>
    </row>
    <row r="89" spans="1:5" ht="12" customHeight="1">
      <c r="A89" s="49" t="s">
        <v>292</v>
      </c>
      <c r="B89" s="127">
        <v>0</v>
      </c>
      <c r="C89" s="128">
        <v>0</v>
      </c>
      <c r="D89" s="27" t="str">
        <f t="shared" si="2"/>
        <v>   </v>
      </c>
      <c r="E89" s="51">
        <f t="shared" si="1"/>
        <v>0</v>
      </c>
    </row>
    <row r="90" spans="1:5" ht="13.5" customHeight="1">
      <c r="A90" s="49" t="s">
        <v>293</v>
      </c>
      <c r="B90" s="127">
        <v>109400</v>
      </c>
      <c r="C90" s="128">
        <v>0</v>
      </c>
      <c r="D90" s="27">
        <f t="shared" si="2"/>
        <v>0</v>
      </c>
      <c r="E90" s="51">
        <f t="shared" si="1"/>
        <v>-109400</v>
      </c>
    </row>
    <row r="91" spans="1:5" ht="13.5" customHeight="1">
      <c r="A91" s="49" t="s">
        <v>294</v>
      </c>
      <c r="B91" s="127">
        <v>27400</v>
      </c>
      <c r="C91" s="128">
        <v>0</v>
      </c>
      <c r="D91" s="27">
        <f t="shared" si="2"/>
        <v>0</v>
      </c>
      <c r="E91" s="51">
        <f t="shared" si="1"/>
        <v>-27400</v>
      </c>
    </row>
    <row r="92" spans="1:5" ht="18.75" customHeight="1">
      <c r="A92" s="16" t="s">
        <v>19</v>
      </c>
      <c r="B92" s="25">
        <f>SUM(B39,B46,B48,B50,B51,B59,B60,B68,B70,)</f>
        <v>2306800</v>
      </c>
      <c r="C92" s="25">
        <f>SUM(C39,C46,C48,C50,C51,C59,C60,C68,C70,)</f>
        <v>682563.3300000001</v>
      </c>
      <c r="D92" s="27">
        <f t="shared" si="2"/>
        <v>29.589185451707994</v>
      </c>
      <c r="E92" s="51">
        <f t="shared" si="1"/>
        <v>-1624236.67</v>
      </c>
    </row>
    <row r="93" spans="1:5" ht="18" customHeight="1" thickBot="1">
      <c r="A93" s="100" t="s">
        <v>267</v>
      </c>
      <c r="B93" s="101">
        <f>B41+B62</f>
        <v>727200</v>
      </c>
      <c r="C93" s="101">
        <f>C41+C62</f>
        <v>249095.06</v>
      </c>
      <c r="D93" s="102">
        <f t="shared" si="2"/>
        <v>34.25399614961496</v>
      </c>
      <c r="E93" s="103">
        <f t="shared" si="1"/>
        <v>-478104.94</v>
      </c>
    </row>
    <row r="94" spans="1:5" ht="29.25" customHeight="1">
      <c r="A94" s="67" t="s">
        <v>21</v>
      </c>
      <c r="B94" s="67"/>
      <c r="C94" s="142"/>
      <c r="D94" s="142"/>
      <c r="E94" s="142"/>
    </row>
    <row r="95" spans="1:5" ht="14.25">
      <c r="A95" s="67" t="s">
        <v>65</v>
      </c>
      <c r="B95" s="67"/>
      <c r="C95" s="68" t="s">
        <v>66</v>
      </c>
      <c r="D95" s="69"/>
      <c r="E95" s="70"/>
    </row>
    <row r="96" spans="1:5" ht="12.75">
      <c r="A96" s="7"/>
      <c r="B96" s="7"/>
      <c r="C96" s="6"/>
      <c r="D96" s="7"/>
      <c r="E96" s="2"/>
    </row>
    <row r="97" spans="1:5" ht="12.75">
      <c r="A97" s="7"/>
      <c r="B97" s="7"/>
      <c r="C97" s="6"/>
      <c r="D97" s="7"/>
      <c r="E97" s="2"/>
    </row>
    <row r="98" spans="1:5" ht="12.75">
      <c r="A98" s="7"/>
      <c r="B98" s="7"/>
      <c r="C98" s="6"/>
      <c r="D98" s="7"/>
      <c r="E98" s="2"/>
    </row>
    <row r="99" spans="1:5" ht="12.75">
      <c r="A99" s="7"/>
      <c r="B99" s="7"/>
      <c r="C99" s="6"/>
      <c r="D99" s="7"/>
      <c r="E99" s="2"/>
    </row>
  </sheetData>
  <mergeCells count="2">
    <mergeCell ref="A1:E1"/>
    <mergeCell ref="C94:E94"/>
  </mergeCells>
  <printOptions/>
  <pageMargins left="0.984251968503937" right="0.7874015748031497" top="0.3937007874015748" bottom="0.3937007874015748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1"/>
  <sheetViews>
    <sheetView zoomScale="75" zoomScaleNormal="75" workbookViewId="0" topLeftCell="A40">
      <selection activeCell="A66" sqref="A66:IV66"/>
    </sheetView>
  </sheetViews>
  <sheetFormatPr defaultColWidth="9.00390625" defaultRowHeight="12.75"/>
  <cols>
    <col min="1" max="1" width="99.125" style="0" customWidth="1"/>
    <col min="2" max="2" width="17.375" style="0" customWidth="1"/>
    <col min="3" max="3" width="16.25390625" style="0" customWidth="1"/>
    <col min="4" max="4" width="15.875" style="0" customWidth="1"/>
    <col min="5" max="5" width="15.375" style="0" customWidth="1"/>
  </cols>
  <sheetData>
    <row r="1" spans="1:5" ht="18">
      <c r="A1" s="141" t="s">
        <v>314</v>
      </c>
      <c r="B1" s="141"/>
      <c r="C1" s="141"/>
      <c r="D1" s="141"/>
      <c r="E1" s="141"/>
    </row>
    <row r="2" spans="1:5" ht="12.75">
      <c r="A2" s="4"/>
      <c r="B2" s="4"/>
      <c r="C2" s="3"/>
      <c r="D2" s="3"/>
      <c r="E2" s="3"/>
    </row>
    <row r="3" spans="1:5" ht="13.5" thickBot="1">
      <c r="A3" s="4"/>
      <c r="B3" s="4"/>
      <c r="C3" s="5"/>
      <c r="D3" s="4"/>
      <c r="E3" s="4" t="s">
        <v>0</v>
      </c>
    </row>
    <row r="4" spans="1:5" ht="65.25" customHeight="1">
      <c r="A4" s="36" t="s">
        <v>1</v>
      </c>
      <c r="B4" s="20" t="s">
        <v>245</v>
      </c>
      <c r="C4" s="33" t="s">
        <v>307</v>
      </c>
      <c r="D4" s="20" t="s">
        <v>246</v>
      </c>
      <c r="E4" s="104" t="s">
        <v>250</v>
      </c>
    </row>
    <row r="5" spans="1:5" ht="12.75">
      <c r="A5" s="13">
        <v>1</v>
      </c>
      <c r="B5" s="99">
        <v>2</v>
      </c>
      <c r="C5" s="10">
        <v>3</v>
      </c>
      <c r="D5" s="30">
        <v>4</v>
      </c>
      <c r="E5" s="14">
        <v>5</v>
      </c>
    </row>
    <row r="6" spans="1:5" ht="13.5" customHeight="1">
      <c r="A6" s="23" t="s">
        <v>2</v>
      </c>
      <c r="B6" s="11"/>
      <c r="C6" s="12"/>
      <c r="D6" s="26"/>
      <c r="E6" s="15"/>
    </row>
    <row r="7" spans="1:5" ht="15" customHeight="1">
      <c r="A7" s="18" t="s">
        <v>59</v>
      </c>
      <c r="B7" s="25">
        <f>SUM(B8)</f>
        <v>69300</v>
      </c>
      <c r="C7" s="25">
        <f>SUM(C8)</f>
        <v>29115.91</v>
      </c>
      <c r="D7" s="27">
        <f aca="true" t="shared" si="0" ref="D7:D70">IF(B7=0,"   ",C7/B7*100)</f>
        <v>42.014300144300144</v>
      </c>
      <c r="E7" s="51">
        <f aca="true" t="shared" si="1" ref="E7:E85">C7-B7</f>
        <v>-40184.09</v>
      </c>
    </row>
    <row r="8" spans="1:5" ht="12.75" customHeight="1">
      <c r="A8" s="17" t="s">
        <v>58</v>
      </c>
      <c r="B8" s="26">
        <v>69300</v>
      </c>
      <c r="C8" s="28">
        <v>29115.91</v>
      </c>
      <c r="D8" s="27">
        <f t="shared" si="0"/>
        <v>42.014300144300144</v>
      </c>
      <c r="E8" s="51">
        <f t="shared" si="1"/>
        <v>-40184.09</v>
      </c>
    </row>
    <row r="9" spans="1:5" ht="16.5" customHeight="1">
      <c r="A9" s="17" t="s">
        <v>7</v>
      </c>
      <c r="B9" s="26">
        <f>SUM(B10:B10)</f>
        <v>23000</v>
      </c>
      <c r="C9" s="26">
        <f>SUM(C10:C10)</f>
        <v>4185.17</v>
      </c>
      <c r="D9" s="27">
        <f t="shared" si="0"/>
        <v>18.196391304347827</v>
      </c>
      <c r="E9" s="51">
        <f t="shared" si="1"/>
        <v>-18814.83</v>
      </c>
    </row>
    <row r="10" spans="1:5" ht="16.5" customHeight="1">
      <c r="A10" s="17" t="s">
        <v>39</v>
      </c>
      <c r="B10" s="26">
        <v>23000</v>
      </c>
      <c r="C10" s="28">
        <v>4185.17</v>
      </c>
      <c r="D10" s="27">
        <f t="shared" si="0"/>
        <v>18.196391304347827</v>
      </c>
      <c r="E10" s="51">
        <f t="shared" si="1"/>
        <v>-18814.83</v>
      </c>
    </row>
    <row r="11" spans="1:5" ht="15.75" customHeight="1">
      <c r="A11" s="17" t="s">
        <v>9</v>
      </c>
      <c r="B11" s="26">
        <f>SUM(B12:B13)</f>
        <v>366000</v>
      </c>
      <c r="C11" s="26">
        <f>SUM(C12:C13)</f>
        <v>46688.87</v>
      </c>
      <c r="D11" s="27">
        <f t="shared" si="0"/>
        <v>12.756521857923497</v>
      </c>
      <c r="E11" s="51">
        <f t="shared" si="1"/>
        <v>-319311.13</v>
      </c>
    </row>
    <row r="12" spans="1:5" ht="15.75" customHeight="1">
      <c r="A12" s="17" t="s">
        <v>40</v>
      </c>
      <c r="B12" s="26">
        <v>111000</v>
      </c>
      <c r="C12" s="28">
        <v>4884.97</v>
      </c>
      <c r="D12" s="27">
        <f t="shared" si="0"/>
        <v>4.400873873873874</v>
      </c>
      <c r="E12" s="51">
        <f t="shared" si="1"/>
        <v>-106115.03</v>
      </c>
    </row>
    <row r="13" spans="1:5" ht="14.25" customHeight="1">
      <c r="A13" s="17" t="s">
        <v>10</v>
      </c>
      <c r="B13" s="26">
        <v>255000</v>
      </c>
      <c r="C13" s="28">
        <v>41803.9</v>
      </c>
      <c r="D13" s="27">
        <f t="shared" si="0"/>
        <v>16.393686274509804</v>
      </c>
      <c r="E13" s="51">
        <f t="shared" si="1"/>
        <v>-213196.1</v>
      </c>
    </row>
    <row r="14" spans="1:5" ht="27.75" customHeight="1">
      <c r="A14" s="17" t="s">
        <v>151</v>
      </c>
      <c r="B14" s="26">
        <v>0</v>
      </c>
      <c r="C14" s="26">
        <v>0.92</v>
      </c>
      <c r="D14" s="27" t="str">
        <f t="shared" si="0"/>
        <v>   </v>
      </c>
      <c r="E14" s="51">
        <f t="shared" si="1"/>
        <v>0.92</v>
      </c>
    </row>
    <row r="15" spans="1:5" ht="24.75" customHeight="1">
      <c r="A15" s="17" t="s">
        <v>41</v>
      </c>
      <c r="B15" s="26">
        <f>SUM(B16:B17)</f>
        <v>49000</v>
      </c>
      <c r="C15" s="26">
        <f>SUM(C16:C17)</f>
        <v>24188.83</v>
      </c>
      <c r="D15" s="27">
        <f t="shared" si="0"/>
        <v>49.36495918367348</v>
      </c>
      <c r="E15" s="51">
        <f t="shared" si="1"/>
        <v>-24811.17</v>
      </c>
    </row>
    <row r="16" spans="1:5" ht="13.5" customHeight="1">
      <c r="A16" s="17" t="s">
        <v>42</v>
      </c>
      <c r="B16" s="26">
        <v>7000</v>
      </c>
      <c r="C16" s="28">
        <v>470.58</v>
      </c>
      <c r="D16" s="27">
        <f t="shared" si="0"/>
        <v>6.7225714285714275</v>
      </c>
      <c r="E16" s="51">
        <f t="shared" si="1"/>
        <v>-6529.42</v>
      </c>
    </row>
    <row r="17" spans="1:5" ht="22.5" customHeight="1">
      <c r="A17" s="17" t="s">
        <v>43</v>
      </c>
      <c r="B17" s="26">
        <v>42000</v>
      </c>
      <c r="C17" s="28">
        <v>23718.25</v>
      </c>
      <c r="D17" s="27">
        <f t="shared" si="0"/>
        <v>56.472023809523805</v>
      </c>
      <c r="E17" s="51">
        <f t="shared" si="1"/>
        <v>-18281.75</v>
      </c>
    </row>
    <row r="18" spans="1:5" ht="17.25" customHeight="1">
      <c r="A18" s="44" t="s">
        <v>156</v>
      </c>
      <c r="B18" s="26">
        <v>0</v>
      </c>
      <c r="C18" s="28">
        <v>0</v>
      </c>
      <c r="D18" s="27" t="str">
        <f t="shared" si="0"/>
        <v>   </v>
      </c>
      <c r="E18" s="51">
        <f t="shared" si="1"/>
        <v>0</v>
      </c>
    </row>
    <row r="19" spans="1:5" ht="18.75" customHeight="1">
      <c r="A19" s="17" t="s">
        <v>112</v>
      </c>
      <c r="B19" s="26">
        <f>SUM(B20)</f>
        <v>0</v>
      </c>
      <c r="C19" s="26">
        <f>SUM(C20)</f>
        <v>529.11</v>
      </c>
      <c r="D19" s="27" t="str">
        <f t="shared" si="0"/>
        <v>   </v>
      </c>
      <c r="E19" s="51">
        <f t="shared" si="1"/>
        <v>529.11</v>
      </c>
    </row>
    <row r="20" spans="1:5" ht="22.5" customHeight="1">
      <c r="A20" s="17" t="s">
        <v>113</v>
      </c>
      <c r="B20" s="26">
        <v>0</v>
      </c>
      <c r="C20" s="34">
        <v>529.11</v>
      </c>
      <c r="D20" s="27" t="str">
        <f t="shared" si="0"/>
        <v>   </v>
      </c>
      <c r="E20" s="51">
        <f t="shared" si="1"/>
        <v>529.11</v>
      </c>
    </row>
    <row r="21" spans="1:5" ht="16.5" customHeight="1">
      <c r="A21" s="17" t="s">
        <v>45</v>
      </c>
      <c r="B21" s="26">
        <f>B22</f>
        <v>0</v>
      </c>
      <c r="C21" s="26">
        <f>C22</f>
        <v>1300</v>
      </c>
      <c r="D21" s="27" t="str">
        <f t="shared" si="0"/>
        <v>   </v>
      </c>
      <c r="E21" s="51">
        <f t="shared" si="1"/>
        <v>1300</v>
      </c>
    </row>
    <row r="22" spans="1:5" ht="13.5" customHeight="1">
      <c r="A22" s="17" t="s">
        <v>71</v>
      </c>
      <c r="B22" s="26">
        <v>0</v>
      </c>
      <c r="C22" s="28">
        <v>1300</v>
      </c>
      <c r="D22" s="27" t="str">
        <f t="shared" si="0"/>
        <v>   </v>
      </c>
      <c r="E22" s="51">
        <f t="shared" si="1"/>
        <v>1300</v>
      </c>
    </row>
    <row r="23" spans="1:5" ht="12" customHeight="1">
      <c r="A23" s="17" t="s">
        <v>44</v>
      </c>
      <c r="B23" s="26">
        <v>0</v>
      </c>
      <c r="C23" s="26">
        <v>0</v>
      </c>
      <c r="D23" s="27" t="str">
        <f t="shared" si="0"/>
        <v>   </v>
      </c>
      <c r="E23" s="51">
        <f t="shared" si="1"/>
        <v>0</v>
      </c>
    </row>
    <row r="24" spans="1:5" ht="21" customHeight="1">
      <c r="A24" s="16" t="s">
        <v>11</v>
      </c>
      <c r="B24" s="125">
        <f>SUM(B7,B9,B11,B15,B18,B19,B21)</f>
        <v>507300</v>
      </c>
      <c r="C24" s="125">
        <f>SUM(C7,C9,C11,C14,C15,C19,C21,C18)</f>
        <v>106008.81000000001</v>
      </c>
      <c r="D24" s="27">
        <f t="shared" si="0"/>
        <v>20.89667060910704</v>
      </c>
      <c r="E24" s="51">
        <f t="shared" si="1"/>
        <v>-401291.19</v>
      </c>
    </row>
    <row r="25" spans="1:5" ht="18" customHeight="1">
      <c r="A25" s="18" t="s">
        <v>47</v>
      </c>
      <c r="B25" s="25">
        <v>1345200</v>
      </c>
      <c r="C25" s="25">
        <v>533800</v>
      </c>
      <c r="D25" s="27">
        <f t="shared" si="0"/>
        <v>39.68183169788879</v>
      </c>
      <c r="E25" s="51">
        <f t="shared" si="1"/>
        <v>-811400</v>
      </c>
    </row>
    <row r="26" spans="1:5" ht="16.5" customHeight="1">
      <c r="A26" s="17" t="s">
        <v>68</v>
      </c>
      <c r="B26" s="26">
        <v>120000</v>
      </c>
      <c r="C26" s="28">
        <v>0</v>
      </c>
      <c r="D26" s="27">
        <f t="shared" si="0"/>
        <v>0</v>
      </c>
      <c r="E26" s="51">
        <f t="shared" si="1"/>
        <v>-120000</v>
      </c>
    </row>
    <row r="27" spans="1:5" ht="30.75" customHeight="1">
      <c r="A27" s="17" t="s">
        <v>72</v>
      </c>
      <c r="B27" s="26">
        <v>45900</v>
      </c>
      <c r="C27" s="28">
        <v>45900</v>
      </c>
      <c r="D27" s="27">
        <f t="shared" si="0"/>
        <v>100</v>
      </c>
      <c r="E27" s="51">
        <f t="shared" si="1"/>
        <v>0</v>
      </c>
    </row>
    <row r="28" spans="1:5" ht="27" customHeight="1">
      <c r="A28" s="44" t="s">
        <v>167</v>
      </c>
      <c r="B28" s="26">
        <v>100</v>
      </c>
      <c r="C28" s="26">
        <v>100</v>
      </c>
      <c r="D28" s="27">
        <f t="shared" si="0"/>
        <v>100</v>
      </c>
      <c r="E28" s="51">
        <f t="shared" si="1"/>
        <v>0</v>
      </c>
    </row>
    <row r="29" spans="1:5" ht="28.5" customHeight="1">
      <c r="A29" s="17" t="s">
        <v>203</v>
      </c>
      <c r="B29" s="26">
        <v>684400</v>
      </c>
      <c r="C29" s="28">
        <v>0</v>
      </c>
      <c r="D29" s="27">
        <f t="shared" si="0"/>
        <v>0</v>
      </c>
      <c r="E29" s="51">
        <f>C29-B29</f>
        <v>-684400</v>
      </c>
    </row>
    <row r="30" spans="1:5" ht="28.5" customHeight="1">
      <c r="A30" s="17" t="s">
        <v>123</v>
      </c>
      <c r="B30" s="26">
        <v>173300</v>
      </c>
      <c r="C30" s="28">
        <v>0</v>
      </c>
      <c r="D30" s="27">
        <f t="shared" si="0"/>
        <v>0</v>
      </c>
      <c r="E30" s="51">
        <f>C30-B30</f>
        <v>-173300</v>
      </c>
    </row>
    <row r="31" spans="1:5" ht="40.5" customHeight="1">
      <c r="A31" s="17" t="s">
        <v>116</v>
      </c>
      <c r="B31" s="26">
        <v>0</v>
      </c>
      <c r="C31" s="26">
        <v>0</v>
      </c>
      <c r="D31" s="27" t="str">
        <f t="shared" si="0"/>
        <v>   </v>
      </c>
      <c r="E31" s="51">
        <f t="shared" si="1"/>
        <v>0</v>
      </c>
    </row>
    <row r="32" spans="1:5" ht="24.75" customHeight="1">
      <c r="A32" s="17" t="s">
        <v>177</v>
      </c>
      <c r="B32" s="26">
        <v>3700</v>
      </c>
      <c r="C32" s="26">
        <v>0</v>
      </c>
      <c r="D32" s="27">
        <f t="shared" si="0"/>
        <v>0</v>
      </c>
      <c r="E32" s="51">
        <f t="shared" si="1"/>
        <v>-3700</v>
      </c>
    </row>
    <row r="33" spans="1:5" ht="15" customHeight="1">
      <c r="A33" s="17" t="s">
        <v>115</v>
      </c>
      <c r="B33" s="28">
        <f>B34</f>
        <v>192000</v>
      </c>
      <c r="C33" s="28">
        <f>C34</f>
        <v>37200</v>
      </c>
      <c r="D33" s="27">
        <f t="shared" si="0"/>
        <v>19.375</v>
      </c>
      <c r="E33" s="51">
        <f t="shared" si="1"/>
        <v>-154800</v>
      </c>
    </row>
    <row r="34" spans="1:5" s="7" customFormat="1" ht="14.25" customHeight="1">
      <c r="A34" s="65" t="s">
        <v>216</v>
      </c>
      <c r="B34" s="66">
        <v>192000</v>
      </c>
      <c r="C34" s="66">
        <v>37200</v>
      </c>
      <c r="D34" s="66">
        <f t="shared" si="0"/>
        <v>19.375</v>
      </c>
      <c r="E34" s="45">
        <f t="shared" si="1"/>
        <v>-154800</v>
      </c>
    </row>
    <row r="35" spans="1:5" ht="16.5" customHeight="1">
      <c r="A35" s="17" t="s">
        <v>48</v>
      </c>
      <c r="B35" s="26">
        <v>0</v>
      </c>
      <c r="C35" s="28">
        <v>0</v>
      </c>
      <c r="D35" s="27" t="str">
        <f t="shared" si="0"/>
        <v>   </v>
      </c>
      <c r="E35" s="51">
        <f t="shared" si="1"/>
        <v>0</v>
      </c>
    </row>
    <row r="36" spans="1:5" ht="24.75" customHeight="1">
      <c r="A36" s="16" t="s">
        <v>14</v>
      </c>
      <c r="B36" s="25">
        <f>SUM(B24,B25,B26:B33,B35)</f>
        <v>3071900</v>
      </c>
      <c r="C36" s="25">
        <f>SUM(C24,C25,C26:C33,C35)</f>
        <v>723008.81</v>
      </c>
      <c r="D36" s="27">
        <f t="shared" si="0"/>
        <v>23.536209186496958</v>
      </c>
      <c r="E36" s="51">
        <f t="shared" si="1"/>
        <v>-2348891.19</v>
      </c>
    </row>
    <row r="37" spans="1:5" ht="12.75" customHeight="1">
      <c r="A37" s="23" t="s">
        <v>15</v>
      </c>
      <c r="B37" s="53"/>
      <c r="C37" s="54"/>
      <c r="D37" s="27" t="str">
        <f t="shared" si="0"/>
        <v>   </v>
      </c>
      <c r="E37" s="51">
        <f t="shared" si="1"/>
        <v>0</v>
      </c>
    </row>
    <row r="38" spans="1:5" ht="15" customHeight="1">
      <c r="A38" s="17" t="s">
        <v>49</v>
      </c>
      <c r="B38" s="26">
        <v>758300</v>
      </c>
      <c r="C38" s="26">
        <v>264373.83</v>
      </c>
      <c r="D38" s="27">
        <f t="shared" si="0"/>
        <v>34.864015561123566</v>
      </c>
      <c r="E38" s="51">
        <f t="shared" si="1"/>
        <v>-493926.17</v>
      </c>
    </row>
    <row r="39" spans="1:5" ht="15" customHeight="1">
      <c r="A39" s="17" t="s">
        <v>50</v>
      </c>
      <c r="B39" s="26">
        <v>757800</v>
      </c>
      <c r="C39" s="26">
        <v>264373.83</v>
      </c>
      <c r="D39" s="27">
        <f t="shared" si="0"/>
        <v>34.8870190023753</v>
      </c>
      <c r="E39" s="51">
        <f t="shared" si="1"/>
        <v>-493426.17</v>
      </c>
    </row>
    <row r="40" spans="1:5" ht="15" customHeight="1">
      <c r="A40" s="123" t="s">
        <v>264</v>
      </c>
      <c r="B40" s="26">
        <v>476900</v>
      </c>
      <c r="C40" s="29">
        <v>155929.79</v>
      </c>
      <c r="D40" s="27">
        <f t="shared" si="0"/>
        <v>32.69653805829314</v>
      </c>
      <c r="E40" s="51">
        <f t="shared" si="1"/>
        <v>-320970.20999999996</v>
      </c>
    </row>
    <row r="41" spans="1:5" ht="12.75">
      <c r="A41" s="17" t="s">
        <v>217</v>
      </c>
      <c r="B41" s="26">
        <v>100</v>
      </c>
      <c r="C41" s="29">
        <v>0</v>
      </c>
      <c r="D41" s="27">
        <f t="shared" si="0"/>
        <v>0</v>
      </c>
      <c r="E41" s="51">
        <f t="shared" si="1"/>
        <v>-100</v>
      </c>
    </row>
    <row r="42" spans="1:5" ht="12.75" customHeight="1">
      <c r="A42" s="17" t="s">
        <v>169</v>
      </c>
      <c r="B42" s="26">
        <v>500</v>
      </c>
      <c r="C42" s="28">
        <v>0</v>
      </c>
      <c r="D42" s="27">
        <f t="shared" si="0"/>
        <v>0</v>
      </c>
      <c r="E42" s="51">
        <f t="shared" si="1"/>
        <v>-500</v>
      </c>
    </row>
    <row r="43" spans="1:5" ht="15.75" customHeight="1">
      <c r="A43" s="17" t="s">
        <v>70</v>
      </c>
      <c r="B43" s="28">
        <f>SUM(B44)</f>
        <v>45900</v>
      </c>
      <c r="C43" s="28">
        <f>SUM(C44)</f>
        <v>22690.88</v>
      </c>
      <c r="D43" s="27">
        <f t="shared" si="0"/>
        <v>49.43546840958606</v>
      </c>
      <c r="E43" s="51">
        <f t="shared" si="1"/>
        <v>-23209.12</v>
      </c>
    </row>
    <row r="44" spans="1:5" ht="13.5" customHeight="1">
      <c r="A44" s="44" t="s">
        <v>212</v>
      </c>
      <c r="B44" s="26">
        <v>45900</v>
      </c>
      <c r="C44" s="28">
        <v>22690.88</v>
      </c>
      <c r="D44" s="27">
        <f t="shared" si="0"/>
        <v>49.43546840958606</v>
      </c>
      <c r="E44" s="51">
        <f t="shared" si="1"/>
        <v>-23209.12</v>
      </c>
    </row>
    <row r="45" spans="1:5" ht="18" customHeight="1">
      <c r="A45" s="17" t="s">
        <v>51</v>
      </c>
      <c r="B45" s="26">
        <f>SUM(B46)</f>
        <v>500</v>
      </c>
      <c r="C45" s="28">
        <f>SUM(C46)</f>
        <v>0</v>
      </c>
      <c r="D45" s="27">
        <f t="shared" si="0"/>
        <v>0</v>
      </c>
      <c r="E45" s="51">
        <f t="shared" si="1"/>
        <v>-500</v>
      </c>
    </row>
    <row r="46" spans="1:5" ht="26.25" customHeight="1">
      <c r="A46" s="49" t="s">
        <v>154</v>
      </c>
      <c r="B46" s="26">
        <v>500</v>
      </c>
      <c r="C46" s="28">
        <v>0</v>
      </c>
      <c r="D46" s="27">
        <f t="shared" si="0"/>
        <v>0</v>
      </c>
      <c r="E46" s="51">
        <f t="shared" si="1"/>
        <v>-500</v>
      </c>
    </row>
    <row r="47" spans="1:5" ht="12.75" customHeight="1">
      <c r="A47" s="17" t="s">
        <v>52</v>
      </c>
      <c r="B47" s="26">
        <f>SUM(B48:B48)</f>
        <v>0</v>
      </c>
      <c r="C47" s="26">
        <f>SUM(C48:C48)</f>
        <v>0</v>
      </c>
      <c r="D47" s="27" t="str">
        <f t="shared" si="0"/>
        <v>   </v>
      </c>
      <c r="E47" s="51">
        <f t="shared" si="1"/>
        <v>0</v>
      </c>
    </row>
    <row r="48" spans="1:5" ht="13.5" customHeight="1">
      <c r="A48" s="17" t="s">
        <v>53</v>
      </c>
      <c r="B48" s="26">
        <v>0</v>
      </c>
      <c r="C48" s="26">
        <v>0</v>
      </c>
      <c r="D48" s="27" t="str">
        <f t="shared" si="0"/>
        <v>   </v>
      </c>
      <c r="E48" s="51">
        <f t="shared" si="1"/>
        <v>0</v>
      </c>
    </row>
    <row r="49" spans="1:5" ht="15" customHeight="1">
      <c r="A49" s="17" t="s">
        <v>16</v>
      </c>
      <c r="B49" s="26">
        <f>B50</f>
        <v>499200</v>
      </c>
      <c r="C49" s="26">
        <f>C50</f>
        <v>126504.38</v>
      </c>
      <c r="D49" s="27">
        <f t="shared" si="0"/>
        <v>25.34142227564103</v>
      </c>
      <c r="E49" s="51">
        <f t="shared" si="1"/>
        <v>-372695.62</v>
      </c>
    </row>
    <row r="50" spans="1:5" ht="12.75" customHeight="1">
      <c r="A50" s="17" t="s">
        <v>173</v>
      </c>
      <c r="B50" s="26">
        <v>499200</v>
      </c>
      <c r="C50" s="26">
        <v>126504.38</v>
      </c>
      <c r="D50" s="27">
        <f t="shared" si="0"/>
        <v>25.34142227564103</v>
      </c>
      <c r="E50" s="51">
        <f t="shared" si="1"/>
        <v>-372695.62</v>
      </c>
    </row>
    <row r="51" spans="1:5" ht="12.75" customHeight="1">
      <c r="A51" s="17" t="s">
        <v>174</v>
      </c>
      <c r="B51" s="26">
        <v>130000</v>
      </c>
      <c r="C51" s="28">
        <v>66504.38</v>
      </c>
      <c r="D51" s="27">
        <f t="shared" si="0"/>
        <v>51.157215384615384</v>
      </c>
      <c r="E51" s="51">
        <f t="shared" si="1"/>
        <v>-63495.619999999995</v>
      </c>
    </row>
    <row r="52" spans="1:5" ht="12.75" customHeight="1">
      <c r="A52" s="17" t="s">
        <v>135</v>
      </c>
      <c r="B52" s="26">
        <v>192000</v>
      </c>
      <c r="C52" s="28">
        <v>30000</v>
      </c>
      <c r="D52" s="27">
        <f t="shared" si="0"/>
        <v>15.625</v>
      </c>
      <c r="E52" s="51">
        <f t="shared" si="1"/>
        <v>-162000</v>
      </c>
    </row>
    <row r="53" spans="1:5" ht="12.75" customHeight="1">
      <c r="A53" s="17" t="s">
        <v>141</v>
      </c>
      <c r="B53" s="26">
        <v>157200</v>
      </c>
      <c r="C53" s="28">
        <v>30000</v>
      </c>
      <c r="D53" s="27">
        <f t="shared" si="0"/>
        <v>19.083969465648856</v>
      </c>
      <c r="E53" s="51">
        <f t="shared" si="1"/>
        <v>-127200</v>
      </c>
    </row>
    <row r="54" spans="1:5" ht="12.75" customHeight="1">
      <c r="A54" s="17" t="s">
        <v>90</v>
      </c>
      <c r="B54" s="26">
        <v>20000</v>
      </c>
      <c r="C54" s="28">
        <v>0</v>
      </c>
      <c r="D54" s="27">
        <f t="shared" si="0"/>
        <v>0</v>
      </c>
      <c r="E54" s="51">
        <f t="shared" si="1"/>
        <v>-20000</v>
      </c>
    </row>
    <row r="55" spans="1:5" ht="15" customHeight="1">
      <c r="A55" s="37" t="s">
        <v>25</v>
      </c>
      <c r="B55" s="32">
        <v>10000</v>
      </c>
      <c r="C55" s="32">
        <v>1630</v>
      </c>
      <c r="D55" s="27">
        <f t="shared" si="0"/>
        <v>16.3</v>
      </c>
      <c r="E55" s="51">
        <f t="shared" si="1"/>
        <v>-8370</v>
      </c>
    </row>
    <row r="56" spans="1:5" ht="15.75" customHeight="1">
      <c r="A56" s="17" t="s">
        <v>55</v>
      </c>
      <c r="B56" s="25">
        <f>B57</f>
        <v>844800</v>
      </c>
      <c r="C56" s="25">
        <f>C57</f>
        <v>298518.99</v>
      </c>
      <c r="D56" s="27">
        <f t="shared" si="0"/>
        <v>35.3360546875</v>
      </c>
      <c r="E56" s="51">
        <f t="shared" si="1"/>
        <v>-546281.01</v>
      </c>
    </row>
    <row r="57" spans="1:5" ht="12.75" customHeight="1">
      <c r="A57" s="17" t="s">
        <v>56</v>
      </c>
      <c r="B57" s="26">
        <v>844800</v>
      </c>
      <c r="C57" s="28">
        <v>298518.99</v>
      </c>
      <c r="D57" s="27">
        <f t="shared" si="0"/>
        <v>35.3360546875</v>
      </c>
      <c r="E57" s="51">
        <f t="shared" si="1"/>
        <v>-546281.01</v>
      </c>
    </row>
    <row r="58" spans="1:5" ht="14.25" customHeight="1">
      <c r="A58" s="123" t="s">
        <v>264</v>
      </c>
      <c r="B58" s="26">
        <v>375900</v>
      </c>
      <c r="C58" s="28">
        <v>158687.49</v>
      </c>
      <c r="D58" s="27">
        <f t="shared" si="0"/>
        <v>42.215347166799674</v>
      </c>
      <c r="E58" s="51">
        <f t="shared" si="1"/>
        <v>-217212.51</v>
      </c>
    </row>
    <row r="59" spans="1:5" ht="13.5" customHeight="1">
      <c r="A59" s="17" t="s">
        <v>213</v>
      </c>
      <c r="B59" s="26">
        <v>3700</v>
      </c>
      <c r="C59" s="28">
        <v>0</v>
      </c>
      <c r="D59" s="27">
        <f t="shared" si="0"/>
        <v>0</v>
      </c>
      <c r="E59" s="51">
        <f t="shared" si="1"/>
        <v>-3700</v>
      </c>
    </row>
    <row r="60" spans="1:5" ht="13.5" customHeight="1">
      <c r="A60" s="17" t="s">
        <v>271</v>
      </c>
      <c r="B60" s="26">
        <f>SUM(B61,)</f>
        <v>15000</v>
      </c>
      <c r="C60" s="26">
        <f>SUM(C61,)</f>
        <v>9000</v>
      </c>
      <c r="D60" s="27">
        <f t="shared" si="0"/>
        <v>60</v>
      </c>
      <c r="E60" s="51">
        <f t="shared" si="1"/>
        <v>-6000</v>
      </c>
    </row>
    <row r="61" spans="1:5" ht="13.5" customHeight="1">
      <c r="A61" s="17" t="s">
        <v>57</v>
      </c>
      <c r="B61" s="26">
        <v>15000</v>
      </c>
      <c r="C61" s="29">
        <v>9000</v>
      </c>
      <c r="D61" s="27">
        <f t="shared" si="0"/>
        <v>60</v>
      </c>
      <c r="E61" s="51">
        <f t="shared" si="1"/>
        <v>-6000</v>
      </c>
    </row>
    <row r="62" spans="1:5" ht="14.25" customHeight="1">
      <c r="A62" s="17" t="s">
        <v>18</v>
      </c>
      <c r="B62" s="26">
        <f>SUM(B63)</f>
        <v>945400</v>
      </c>
      <c r="C62" s="26">
        <f>SUM(C63)</f>
        <v>0</v>
      </c>
      <c r="D62" s="27">
        <f t="shared" si="0"/>
        <v>0</v>
      </c>
      <c r="E62" s="51">
        <f t="shared" si="1"/>
        <v>-945400</v>
      </c>
    </row>
    <row r="63" spans="1:5" ht="14.25" customHeight="1">
      <c r="A63" s="17" t="s">
        <v>281</v>
      </c>
      <c r="B63" s="26">
        <f>SUM(B64,B73,B80)</f>
        <v>945400</v>
      </c>
      <c r="C63" s="26">
        <f>SUM(C64,C73,C80)</f>
        <v>0</v>
      </c>
      <c r="D63" s="27">
        <f t="shared" si="0"/>
        <v>0</v>
      </c>
      <c r="E63" s="51">
        <f t="shared" si="1"/>
        <v>-945400</v>
      </c>
    </row>
    <row r="64" spans="1:5" ht="14.25" customHeight="1">
      <c r="A64" s="126" t="s">
        <v>279</v>
      </c>
      <c r="B64" s="127">
        <f>SUM(B65,B69)</f>
        <v>603400</v>
      </c>
      <c r="C64" s="127">
        <f>SUM(C65:C69)</f>
        <v>0</v>
      </c>
      <c r="D64" s="27">
        <f t="shared" si="0"/>
        <v>0</v>
      </c>
      <c r="E64" s="51">
        <f t="shared" si="1"/>
        <v>-603400</v>
      </c>
    </row>
    <row r="65" spans="1:5" ht="13.5" customHeight="1">
      <c r="A65" s="17" t="s">
        <v>284</v>
      </c>
      <c r="B65" s="26">
        <f>SUM(B66:B68)</f>
        <v>310900</v>
      </c>
      <c r="C65" s="28">
        <v>0</v>
      </c>
      <c r="D65" s="27">
        <f t="shared" si="0"/>
        <v>0</v>
      </c>
      <c r="E65" s="51">
        <f t="shared" si="1"/>
        <v>-310900</v>
      </c>
    </row>
    <row r="66" spans="1:5" ht="13.5" customHeight="1">
      <c r="A66" s="49" t="s">
        <v>292</v>
      </c>
      <c r="B66" s="26">
        <v>266500</v>
      </c>
      <c r="C66" s="28"/>
      <c r="D66" s="27">
        <f t="shared" si="0"/>
        <v>0</v>
      </c>
      <c r="E66" s="51">
        <f t="shared" si="1"/>
        <v>-266500</v>
      </c>
    </row>
    <row r="67" spans="1:5" ht="13.5" customHeight="1">
      <c r="A67" s="49" t="s">
        <v>293</v>
      </c>
      <c r="B67" s="26">
        <v>0</v>
      </c>
      <c r="C67" s="28"/>
      <c r="D67" s="27" t="str">
        <f t="shared" si="0"/>
        <v>   </v>
      </c>
      <c r="E67" s="51">
        <f t="shared" si="1"/>
        <v>0</v>
      </c>
    </row>
    <row r="68" spans="1:5" ht="13.5" customHeight="1">
      <c r="A68" s="49" t="s">
        <v>294</v>
      </c>
      <c r="B68" s="26">
        <v>44400</v>
      </c>
      <c r="C68" s="28"/>
      <c r="D68" s="27">
        <f t="shared" si="0"/>
        <v>0</v>
      </c>
      <c r="E68" s="51">
        <f t="shared" si="1"/>
        <v>-44400</v>
      </c>
    </row>
    <row r="69" spans="1:5" ht="24.75" customHeight="1">
      <c r="A69" s="17" t="s">
        <v>283</v>
      </c>
      <c r="B69" s="26">
        <f>SUM(B70:B72)</f>
        <v>292500</v>
      </c>
      <c r="C69" s="28">
        <v>0</v>
      </c>
      <c r="D69" s="27">
        <f t="shared" si="0"/>
        <v>0</v>
      </c>
      <c r="E69" s="51">
        <f t="shared" si="1"/>
        <v>-292500</v>
      </c>
    </row>
    <row r="70" spans="1:5" ht="24.75" customHeight="1">
      <c r="A70" s="49" t="s">
        <v>292</v>
      </c>
      <c r="B70" s="26">
        <v>292500</v>
      </c>
      <c r="C70" s="28"/>
      <c r="D70" s="27">
        <f t="shared" si="0"/>
        <v>0</v>
      </c>
      <c r="E70" s="51">
        <f t="shared" si="1"/>
        <v>-292500</v>
      </c>
    </row>
    <row r="71" spans="1:5" ht="24.75" customHeight="1">
      <c r="A71" s="49" t="s">
        <v>293</v>
      </c>
      <c r="C71" s="28"/>
      <c r="D71" s="27" t="str">
        <f aca="true" t="shared" si="2" ref="D71:D85">IF(B71=0,"   ",C71/B71*100)</f>
        <v>   </v>
      </c>
      <c r="E71" s="51">
        <f t="shared" si="1"/>
        <v>0</v>
      </c>
    </row>
    <row r="72" spans="1:5" ht="24.75" customHeight="1">
      <c r="A72" s="49" t="s">
        <v>294</v>
      </c>
      <c r="B72" s="26"/>
      <c r="C72" s="28"/>
      <c r="D72" s="27" t="str">
        <f t="shared" si="2"/>
        <v>   </v>
      </c>
      <c r="E72" s="51">
        <f t="shared" si="1"/>
        <v>0</v>
      </c>
    </row>
    <row r="73" spans="1:5" ht="13.5" customHeight="1">
      <c r="A73" s="126" t="s">
        <v>280</v>
      </c>
      <c r="B73" s="127">
        <f>SUM(B74,B77)</f>
        <v>125400</v>
      </c>
      <c r="C73" s="127">
        <f>SUM(C74:C77)</f>
        <v>0</v>
      </c>
      <c r="D73" s="27">
        <f t="shared" si="2"/>
        <v>0</v>
      </c>
      <c r="E73" s="51">
        <f t="shared" si="1"/>
        <v>-125400</v>
      </c>
    </row>
    <row r="74" spans="1:5" ht="15.75" customHeight="1">
      <c r="A74" s="17" t="s">
        <v>284</v>
      </c>
      <c r="B74" s="26">
        <f>SUM(B75:B76)</f>
        <v>75500</v>
      </c>
      <c r="C74" s="28"/>
      <c r="D74" s="27">
        <f t="shared" si="2"/>
        <v>0</v>
      </c>
      <c r="E74" s="51">
        <f t="shared" si="1"/>
        <v>-75500</v>
      </c>
    </row>
    <row r="75" spans="1:5" ht="15.75" customHeight="1">
      <c r="A75" s="49" t="s">
        <v>293</v>
      </c>
      <c r="B75" s="26">
        <v>75500</v>
      </c>
      <c r="C75" s="28"/>
      <c r="D75" s="27">
        <f t="shared" si="2"/>
        <v>0</v>
      </c>
      <c r="E75" s="51">
        <f t="shared" si="1"/>
        <v>-75500</v>
      </c>
    </row>
    <row r="76" spans="1:5" ht="15.75" customHeight="1">
      <c r="A76" s="49" t="s">
        <v>294</v>
      </c>
      <c r="B76" s="26"/>
      <c r="C76" s="28"/>
      <c r="D76" s="27" t="str">
        <f t="shared" si="2"/>
        <v>   </v>
      </c>
      <c r="E76" s="51">
        <f t="shared" si="1"/>
        <v>0</v>
      </c>
    </row>
    <row r="77" spans="1:5" ht="24.75" customHeight="1">
      <c r="A77" s="17" t="s">
        <v>283</v>
      </c>
      <c r="B77" s="26">
        <f>SUM(B78:B79)</f>
        <v>49900</v>
      </c>
      <c r="C77" s="28"/>
      <c r="D77" s="27">
        <f t="shared" si="2"/>
        <v>0</v>
      </c>
      <c r="E77" s="51">
        <f t="shared" si="1"/>
        <v>-49900</v>
      </c>
    </row>
    <row r="78" spans="1:5" ht="24.75" customHeight="1">
      <c r="A78" s="49" t="s">
        <v>293</v>
      </c>
      <c r="B78" s="26">
        <v>49900</v>
      </c>
      <c r="C78" s="28"/>
      <c r="D78" s="27">
        <f t="shared" si="2"/>
        <v>0</v>
      </c>
      <c r="E78" s="51">
        <f t="shared" si="1"/>
        <v>-49900</v>
      </c>
    </row>
    <row r="79" spans="1:5" ht="24.75" customHeight="1">
      <c r="A79" s="49" t="s">
        <v>294</v>
      </c>
      <c r="B79" s="26"/>
      <c r="C79" s="28"/>
      <c r="D79" s="27" t="str">
        <f t="shared" si="2"/>
        <v>   </v>
      </c>
      <c r="E79" s="51">
        <f t="shared" si="1"/>
        <v>0</v>
      </c>
    </row>
    <row r="80" spans="1:5" ht="13.5" customHeight="1">
      <c r="A80" s="126" t="s">
        <v>285</v>
      </c>
      <c r="B80" s="127">
        <f>SUM(B81:B83)</f>
        <v>216600</v>
      </c>
      <c r="C80" s="128"/>
      <c r="D80" s="27">
        <f t="shared" si="2"/>
        <v>0</v>
      </c>
      <c r="E80" s="51">
        <f t="shared" si="1"/>
        <v>-216600</v>
      </c>
    </row>
    <row r="81" spans="1:5" ht="13.5" customHeight="1">
      <c r="A81" s="49" t="s">
        <v>292</v>
      </c>
      <c r="B81" s="127"/>
      <c r="C81" s="128"/>
      <c r="D81" s="27" t="str">
        <f t="shared" si="2"/>
        <v>   </v>
      </c>
      <c r="E81" s="51">
        <f t="shared" si="1"/>
        <v>0</v>
      </c>
    </row>
    <row r="82" spans="1:5" ht="13.5" customHeight="1">
      <c r="A82" s="49" t="s">
        <v>293</v>
      </c>
      <c r="B82" s="127">
        <v>173300</v>
      </c>
      <c r="C82" s="128"/>
      <c r="D82" s="27">
        <f t="shared" si="2"/>
        <v>0</v>
      </c>
      <c r="E82" s="51">
        <f t="shared" si="1"/>
        <v>-173300</v>
      </c>
    </row>
    <row r="83" spans="1:5" ht="13.5" customHeight="1">
      <c r="A83" s="49" t="s">
        <v>294</v>
      </c>
      <c r="B83" s="127">
        <v>43300</v>
      </c>
      <c r="C83" s="128"/>
      <c r="D83" s="27">
        <f t="shared" si="2"/>
        <v>0</v>
      </c>
      <c r="E83" s="51">
        <f t="shared" si="1"/>
        <v>-43300</v>
      </c>
    </row>
    <row r="84" spans="1:5" ht="24.75" customHeight="1">
      <c r="A84" s="16" t="s">
        <v>19</v>
      </c>
      <c r="B84" s="25">
        <f>SUM(B38,B43,B45,B47,B49,B55,B56,B60,B62,)</f>
        <v>3119100</v>
      </c>
      <c r="C84" s="25">
        <f>SUM(C38,C43,C45,C47,C49,C55,C56,C60,C62,)</f>
        <v>722718.0800000001</v>
      </c>
      <c r="D84" s="27">
        <f t="shared" si="2"/>
        <v>23.170724888589657</v>
      </c>
      <c r="E84" s="51">
        <f t="shared" si="1"/>
        <v>-2396381.92</v>
      </c>
    </row>
    <row r="85" spans="1:5" ht="13.5" customHeight="1" thickBot="1">
      <c r="A85" s="100" t="s">
        <v>267</v>
      </c>
      <c r="B85" s="101">
        <f>B40+B58</f>
        <v>852800</v>
      </c>
      <c r="C85" s="101">
        <f>C40+C58</f>
        <v>314617.28</v>
      </c>
      <c r="D85" s="102">
        <f t="shared" si="2"/>
        <v>36.89227016885554</v>
      </c>
      <c r="E85" s="103">
        <f t="shared" si="1"/>
        <v>-538182.72</v>
      </c>
    </row>
    <row r="86" spans="1:5" ht="28.5" customHeight="1">
      <c r="A86" s="67" t="s">
        <v>21</v>
      </c>
      <c r="B86" s="67"/>
      <c r="C86" s="142"/>
      <c r="D86" s="142"/>
      <c r="E86" s="142"/>
    </row>
    <row r="87" spans="1:5" ht="12" customHeight="1">
      <c r="A87" s="67" t="s">
        <v>65</v>
      </c>
      <c r="B87" s="67"/>
      <c r="C87" s="68" t="s">
        <v>66</v>
      </c>
      <c r="D87" s="69"/>
      <c r="E87" s="70"/>
    </row>
    <row r="88" spans="1:5" ht="12.75">
      <c r="A88" s="7"/>
      <c r="B88" s="7"/>
      <c r="C88" s="6"/>
      <c r="D88" s="7"/>
      <c r="E88" s="2"/>
    </row>
    <row r="89" spans="1:5" ht="12.75">
      <c r="A89" s="7"/>
      <c r="B89" s="7"/>
      <c r="C89" s="6"/>
      <c r="D89" s="7"/>
      <c r="E89" s="2"/>
    </row>
    <row r="90" spans="1:5" ht="12.75">
      <c r="A90" s="7"/>
      <c r="B90" s="7"/>
      <c r="C90" s="6"/>
      <c r="D90" s="7"/>
      <c r="E90" s="2"/>
    </row>
    <row r="91" spans="1:5" ht="12.75">
      <c r="A91" s="7"/>
      <c r="B91" s="7"/>
      <c r="C91" s="6"/>
      <c r="D91" s="7"/>
      <c r="E91" s="2"/>
    </row>
  </sheetData>
  <mergeCells count="2">
    <mergeCell ref="A1:E1"/>
    <mergeCell ref="C86:E86"/>
  </mergeCells>
  <printOptions/>
  <pageMargins left="0.7874015748031497" right="0.7874015748031497" top="0.5118110236220472" bottom="0.5118110236220472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0"/>
  <sheetViews>
    <sheetView zoomScale="75" zoomScaleNormal="75" workbookViewId="0" topLeftCell="A43">
      <selection activeCell="A72" sqref="A72:IV72"/>
    </sheetView>
  </sheetViews>
  <sheetFormatPr defaultColWidth="9.00390625" defaultRowHeight="12.75"/>
  <cols>
    <col min="1" max="1" width="95.625" style="0" customWidth="1"/>
    <col min="2" max="2" width="15.875" style="0" customWidth="1"/>
    <col min="3" max="3" width="16.875" style="0" customWidth="1"/>
    <col min="4" max="4" width="17.25390625" style="0" customWidth="1"/>
    <col min="5" max="5" width="16.25390625" style="0" customWidth="1"/>
  </cols>
  <sheetData>
    <row r="1" spans="1:5" ht="18">
      <c r="A1" s="141" t="s">
        <v>313</v>
      </c>
      <c r="B1" s="141"/>
      <c r="C1" s="141"/>
      <c r="D1" s="141"/>
      <c r="E1" s="141"/>
    </row>
    <row r="2" spans="1:5" ht="12.75">
      <c r="A2" s="4"/>
      <c r="B2" s="4"/>
      <c r="C2" s="3"/>
      <c r="D2" s="3"/>
      <c r="E2" s="3"/>
    </row>
    <row r="3" spans="1:5" ht="13.5" thickBot="1">
      <c r="A3" s="4"/>
      <c r="B3" s="4"/>
      <c r="C3" s="5"/>
      <c r="D3" s="4"/>
      <c r="E3" s="4" t="s">
        <v>0</v>
      </c>
    </row>
    <row r="4" spans="1:5" ht="71.25" customHeight="1">
      <c r="A4" s="36" t="s">
        <v>1</v>
      </c>
      <c r="B4" s="20" t="s">
        <v>245</v>
      </c>
      <c r="C4" s="33" t="s">
        <v>307</v>
      </c>
      <c r="D4" s="20" t="s">
        <v>251</v>
      </c>
      <c r="E4" s="20" t="s">
        <v>252</v>
      </c>
    </row>
    <row r="5" spans="1:5" ht="12.75">
      <c r="A5" s="13">
        <v>1</v>
      </c>
      <c r="B5" s="99">
        <v>2</v>
      </c>
      <c r="C5" s="10">
        <v>3</v>
      </c>
      <c r="D5" s="30">
        <v>4</v>
      </c>
      <c r="E5" s="14">
        <v>5</v>
      </c>
    </row>
    <row r="6" spans="1:5" ht="12.75">
      <c r="A6" s="23" t="s">
        <v>2</v>
      </c>
      <c r="B6" s="11"/>
      <c r="C6" s="12"/>
      <c r="D6" s="26"/>
      <c r="E6" s="15"/>
    </row>
    <row r="7" spans="1:5" ht="12.75">
      <c r="A7" s="18" t="s">
        <v>59</v>
      </c>
      <c r="B7" s="25">
        <f>SUM(B8)</f>
        <v>131200</v>
      </c>
      <c r="C7" s="25">
        <f>SUM(C8)</f>
        <v>39995.29</v>
      </c>
      <c r="D7" s="27">
        <f aca="true" t="shared" si="0" ref="D7:D70">IF(B7=0,"   ",C7/B7*100)</f>
        <v>30.48421493902439</v>
      </c>
      <c r="E7" s="51">
        <f aca="true" t="shared" si="1" ref="E7:E84">C7-B7</f>
        <v>-91204.70999999999</v>
      </c>
    </row>
    <row r="8" spans="1:5" ht="12.75">
      <c r="A8" s="17" t="s">
        <v>58</v>
      </c>
      <c r="B8" s="26">
        <v>131200</v>
      </c>
      <c r="C8" s="28">
        <v>39995.29</v>
      </c>
      <c r="D8" s="27">
        <f t="shared" si="0"/>
        <v>30.48421493902439</v>
      </c>
      <c r="E8" s="51">
        <f t="shared" si="1"/>
        <v>-91204.70999999999</v>
      </c>
    </row>
    <row r="9" spans="1:5" ht="12.75">
      <c r="A9" s="17" t="s">
        <v>7</v>
      </c>
      <c r="B9" s="26">
        <f>SUM(B10:B10)</f>
        <v>4000</v>
      </c>
      <c r="C9" s="26">
        <f>SUM(C10:C10)</f>
        <v>12336.92</v>
      </c>
      <c r="D9" s="27">
        <f t="shared" si="0"/>
        <v>308.423</v>
      </c>
      <c r="E9" s="51">
        <f t="shared" si="1"/>
        <v>8336.92</v>
      </c>
    </row>
    <row r="10" spans="1:5" ht="12.75">
      <c r="A10" s="17" t="s">
        <v>39</v>
      </c>
      <c r="B10" s="26">
        <v>4000</v>
      </c>
      <c r="C10" s="28">
        <v>12336.92</v>
      </c>
      <c r="D10" s="27">
        <f t="shared" si="0"/>
        <v>308.423</v>
      </c>
      <c r="E10" s="51">
        <f t="shared" si="1"/>
        <v>8336.92</v>
      </c>
    </row>
    <row r="11" spans="1:5" ht="12.75">
      <c r="A11" s="17" t="s">
        <v>9</v>
      </c>
      <c r="B11" s="26">
        <f>SUM(B12:B13)</f>
        <v>369600</v>
      </c>
      <c r="C11" s="26">
        <f>SUM(C12:C13)</f>
        <v>43800.89</v>
      </c>
      <c r="D11" s="27">
        <f t="shared" si="0"/>
        <v>11.850890151515152</v>
      </c>
      <c r="E11" s="51">
        <f t="shared" si="1"/>
        <v>-325799.11</v>
      </c>
    </row>
    <row r="12" spans="1:5" ht="12.75">
      <c r="A12" s="17" t="s">
        <v>40</v>
      </c>
      <c r="B12" s="26">
        <v>176000</v>
      </c>
      <c r="C12" s="28">
        <v>13190.77</v>
      </c>
      <c r="D12" s="27">
        <f t="shared" si="0"/>
        <v>7.494755681818183</v>
      </c>
      <c r="E12" s="51">
        <f t="shared" si="1"/>
        <v>-162809.23</v>
      </c>
    </row>
    <row r="13" spans="1:5" ht="12.75">
      <c r="A13" s="17" t="s">
        <v>10</v>
      </c>
      <c r="B13" s="26">
        <v>193600</v>
      </c>
      <c r="C13" s="28">
        <v>30610.12</v>
      </c>
      <c r="D13" s="27">
        <f t="shared" si="0"/>
        <v>15.811012396694215</v>
      </c>
      <c r="E13" s="51">
        <f t="shared" si="1"/>
        <v>-162989.88</v>
      </c>
    </row>
    <row r="14" spans="1:5" ht="26.25" customHeight="1">
      <c r="A14" s="17" t="s">
        <v>151</v>
      </c>
      <c r="B14" s="26">
        <v>0</v>
      </c>
      <c r="C14" s="28">
        <v>0</v>
      </c>
      <c r="D14" s="27" t="str">
        <f t="shared" si="0"/>
        <v>   </v>
      </c>
      <c r="E14" s="51">
        <f t="shared" si="1"/>
        <v>0</v>
      </c>
    </row>
    <row r="15" spans="1:5" ht="27" customHeight="1">
      <c r="A15" s="17" t="s">
        <v>41</v>
      </c>
      <c r="B15" s="26">
        <v>152000</v>
      </c>
      <c r="C15" s="26">
        <f>SUM(C16:C17)</f>
        <v>18707.54</v>
      </c>
      <c r="D15" s="27">
        <f t="shared" si="0"/>
        <v>12.307592105263158</v>
      </c>
      <c r="E15" s="51">
        <f t="shared" si="1"/>
        <v>-133292.46</v>
      </c>
    </row>
    <row r="16" spans="1:5" ht="12.75">
      <c r="A16" s="17" t="s">
        <v>42</v>
      </c>
      <c r="B16" s="26">
        <v>152000</v>
      </c>
      <c r="C16" s="26">
        <v>16747.34</v>
      </c>
      <c r="D16" s="27">
        <f t="shared" si="0"/>
        <v>11.017986842105264</v>
      </c>
      <c r="E16" s="51">
        <f t="shared" si="1"/>
        <v>-135252.66</v>
      </c>
    </row>
    <row r="17" spans="1:5" ht="26.25" customHeight="1">
      <c r="A17" s="17" t="s">
        <v>43</v>
      </c>
      <c r="B17" s="26">
        <v>0</v>
      </c>
      <c r="C17" s="28">
        <v>1960.2</v>
      </c>
      <c r="D17" s="27" t="str">
        <f t="shared" si="0"/>
        <v>   </v>
      </c>
      <c r="E17" s="51">
        <f t="shared" si="1"/>
        <v>1960.2</v>
      </c>
    </row>
    <row r="18" spans="1:5" ht="19.5" customHeight="1">
      <c r="A18" s="17" t="s">
        <v>121</v>
      </c>
      <c r="B18" s="26">
        <v>0</v>
      </c>
      <c r="C18" s="28">
        <v>2578.62</v>
      </c>
      <c r="D18" s="27" t="str">
        <f t="shared" si="0"/>
        <v>   </v>
      </c>
      <c r="E18" s="51">
        <f t="shared" si="1"/>
        <v>2578.62</v>
      </c>
    </row>
    <row r="19" spans="1:5" ht="13.5" customHeight="1">
      <c r="A19" s="17" t="s">
        <v>112</v>
      </c>
      <c r="B19" s="26">
        <f>SUM(B20:B21)</f>
        <v>0</v>
      </c>
      <c r="C19" s="26">
        <f>SUM(C20:C21)</f>
        <v>13392.74</v>
      </c>
      <c r="D19" s="27"/>
      <c r="E19" s="51">
        <f t="shared" si="1"/>
        <v>13392.74</v>
      </c>
    </row>
    <row r="20" spans="1:5" ht="13.5" customHeight="1">
      <c r="A20" s="17" t="s">
        <v>274</v>
      </c>
      <c r="B20" s="26">
        <v>0</v>
      </c>
      <c r="C20" s="26">
        <v>3500</v>
      </c>
      <c r="D20" s="27"/>
      <c r="E20" s="51"/>
    </row>
    <row r="21" spans="1:5" ht="26.25" customHeight="1">
      <c r="A21" s="17" t="s">
        <v>113</v>
      </c>
      <c r="B21" s="26">
        <v>0</v>
      </c>
      <c r="C21" s="26">
        <v>9892.74</v>
      </c>
      <c r="D21" s="27"/>
      <c r="E21" s="51">
        <f t="shared" si="1"/>
        <v>9892.74</v>
      </c>
    </row>
    <row r="22" spans="1:5" ht="12.75">
      <c r="A22" s="17" t="s">
        <v>45</v>
      </c>
      <c r="B22" s="26">
        <f>B23</f>
        <v>0</v>
      </c>
      <c r="C22" s="26">
        <f>C23</f>
        <v>3495.15</v>
      </c>
      <c r="D22" s="27" t="str">
        <f t="shared" si="0"/>
        <v>   </v>
      </c>
      <c r="E22" s="51">
        <f t="shared" si="1"/>
        <v>3495.15</v>
      </c>
    </row>
    <row r="23" spans="1:5" ht="12.75">
      <c r="A23" s="17" t="s">
        <v>71</v>
      </c>
      <c r="B23" s="26">
        <v>0</v>
      </c>
      <c r="C23" s="26">
        <v>3495.15</v>
      </c>
      <c r="D23" s="27" t="str">
        <f t="shared" si="0"/>
        <v>   </v>
      </c>
      <c r="E23" s="51">
        <f t="shared" si="1"/>
        <v>3495.15</v>
      </c>
    </row>
    <row r="24" spans="1:5" ht="16.5" customHeight="1">
      <c r="A24" s="17" t="s">
        <v>44</v>
      </c>
      <c r="B24" s="26">
        <v>0</v>
      </c>
      <c r="C24" s="25">
        <v>0</v>
      </c>
      <c r="D24" s="27" t="str">
        <f t="shared" si="0"/>
        <v>   </v>
      </c>
      <c r="E24" s="51">
        <f t="shared" si="1"/>
        <v>0</v>
      </c>
    </row>
    <row r="25" spans="1:5" ht="18" customHeight="1">
      <c r="A25" s="16" t="s">
        <v>11</v>
      </c>
      <c r="B25" s="50">
        <f>SUM(B7,B9,B11,B15,B18,B19,B22,B24,B14)</f>
        <v>656800</v>
      </c>
      <c r="C25" s="50">
        <f>SUM(C7,C9,C11,C15,C18,C19,C22,C24,C14)</f>
        <v>134307.15000000002</v>
      </c>
      <c r="D25" s="27">
        <f t="shared" si="0"/>
        <v>20.448713459196107</v>
      </c>
      <c r="E25" s="51">
        <f t="shared" si="1"/>
        <v>-522492.85</v>
      </c>
    </row>
    <row r="26" spans="1:5" ht="14.25" customHeight="1">
      <c r="A26" s="18" t="s">
        <v>47</v>
      </c>
      <c r="B26" s="25">
        <v>2481000</v>
      </c>
      <c r="C26" s="25">
        <v>984600</v>
      </c>
      <c r="D26" s="27">
        <f t="shared" si="0"/>
        <v>39.685610640870614</v>
      </c>
      <c r="E26" s="51">
        <f t="shared" si="1"/>
        <v>-1496400</v>
      </c>
    </row>
    <row r="27" spans="1:5" ht="15.75" customHeight="1">
      <c r="A27" s="17" t="s">
        <v>68</v>
      </c>
      <c r="B27" s="26">
        <v>0</v>
      </c>
      <c r="C27" s="28">
        <v>0</v>
      </c>
      <c r="D27" s="27" t="str">
        <f t="shared" si="0"/>
        <v>   </v>
      </c>
      <c r="E27" s="51">
        <f t="shared" si="1"/>
        <v>0</v>
      </c>
    </row>
    <row r="28" spans="1:5" ht="27" customHeight="1">
      <c r="A28" s="17" t="s">
        <v>72</v>
      </c>
      <c r="B28" s="26">
        <v>114800</v>
      </c>
      <c r="C28" s="26">
        <v>114800</v>
      </c>
      <c r="D28" s="27">
        <f t="shared" si="0"/>
        <v>100</v>
      </c>
      <c r="E28" s="51">
        <f t="shared" si="1"/>
        <v>0</v>
      </c>
    </row>
    <row r="29" spans="1:5" ht="27" customHeight="1">
      <c r="A29" s="44" t="s">
        <v>167</v>
      </c>
      <c r="B29" s="26">
        <v>100</v>
      </c>
      <c r="C29" s="26">
        <v>0</v>
      </c>
      <c r="D29" s="27">
        <f t="shared" si="0"/>
        <v>0</v>
      </c>
      <c r="E29" s="51">
        <f t="shared" si="1"/>
        <v>-100</v>
      </c>
    </row>
    <row r="30" spans="1:5" ht="26.25" customHeight="1">
      <c r="A30" s="17" t="s">
        <v>143</v>
      </c>
      <c r="B30" s="26">
        <v>191500</v>
      </c>
      <c r="C30" s="28">
        <v>0</v>
      </c>
      <c r="D30" s="27">
        <f t="shared" si="0"/>
        <v>0</v>
      </c>
      <c r="E30" s="51">
        <f t="shared" si="1"/>
        <v>-191500</v>
      </c>
    </row>
    <row r="31" spans="1:5" ht="18.75" customHeight="1">
      <c r="A31" s="17" t="s">
        <v>81</v>
      </c>
      <c r="B31" s="26">
        <v>0</v>
      </c>
      <c r="C31" s="28">
        <v>0</v>
      </c>
      <c r="D31" s="27" t="str">
        <f t="shared" si="0"/>
        <v>   </v>
      </c>
      <c r="E31" s="51">
        <f t="shared" si="1"/>
        <v>0</v>
      </c>
    </row>
    <row r="32" spans="1:5" ht="24.75" customHeight="1">
      <c r="A32" s="17" t="s">
        <v>203</v>
      </c>
      <c r="B32" s="26">
        <v>0</v>
      </c>
      <c r="C32" s="28">
        <v>0</v>
      </c>
      <c r="D32" s="27" t="str">
        <f t="shared" si="0"/>
        <v>   </v>
      </c>
      <c r="E32" s="51">
        <f t="shared" si="1"/>
        <v>0</v>
      </c>
    </row>
    <row r="33" spans="1:5" ht="26.25" customHeight="1">
      <c r="A33" s="17" t="s">
        <v>177</v>
      </c>
      <c r="B33" s="26">
        <v>7500</v>
      </c>
      <c r="C33" s="26">
        <v>0</v>
      </c>
      <c r="D33" s="27">
        <f t="shared" si="0"/>
        <v>0</v>
      </c>
      <c r="E33" s="51">
        <f t="shared" si="1"/>
        <v>-7500</v>
      </c>
    </row>
    <row r="34" spans="1:5" ht="17.25" customHeight="1">
      <c r="A34" s="17" t="s">
        <v>79</v>
      </c>
      <c r="B34" s="26">
        <f>B35</f>
        <v>352000</v>
      </c>
      <c r="C34" s="26">
        <f>C35</f>
        <v>74554</v>
      </c>
      <c r="D34" s="27">
        <f t="shared" si="0"/>
        <v>21.180113636363636</v>
      </c>
      <c r="E34" s="51">
        <f t="shared" si="1"/>
        <v>-277446</v>
      </c>
    </row>
    <row r="35" spans="1:5" s="7" customFormat="1" ht="14.25" customHeight="1">
      <c r="A35" s="65" t="s">
        <v>216</v>
      </c>
      <c r="B35" s="66">
        <v>352000</v>
      </c>
      <c r="C35" s="26">
        <v>74554</v>
      </c>
      <c r="D35" s="66">
        <f t="shared" si="0"/>
        <v>21.180113636363636</v>
      </c>
      <c r="E35" s="45">
        <f t="shared" si="1"/>
        <v>-277446</v>
      </c>
    </row>
    <row r="36" spans="1:5" ht="42" customHeight="1">
      <c r="A36" s="17" t="s">
        <v>183</v>
      </c>
      <c r="B36" s="26">
        <v>0</v>
      </c>
      <c r="C36" s="26">
        <v>0</v>
      </c>
      <c r="D36" s="27" t="str">
        <f t="shared" si="0"/>
        <v>   </v>
      </c>
      <c r="E36" s="51">
        <f t="shared" si="1"/>
        <v>0</v>
      </c>
    </row>
    <row r="37" spans="1:5" ht="15.75" customHeight="1">
      <c r="A37" s="17" t="s">
        <v>48</v>
      </c>
      <c r="B37" s="26">
        <v>0</v>
      </c>
      <c r="C37" s="28">
        <v>0</v>
      </c>
      <c r="D37" s="27" t="str">
        <f t="shared" si="0"/>
        <v>   </v>
      </c>
      <c r="E37" s="51">
        <f t="shared" si="1"/>
        <v>0</v>
      </c>
    </row>
    <row r="38" spans="1:5" ht="21.75" customHeight="1">
      <c r="A38" s="16" t="s">
        <v>14</v>
      </c>
      <c r="B38" s="25">
        <f>SUM(B25,B26,B27:B34,B36,B37)</f>
        <v>3803700</v>
      </c>
      <c r="C38" s="25">
        <f>SUM(C25,C26,C27:C34,C36,C37)</f>
        <v>1308261.15</v>
      </c>
      <c r="D38" s="27">
        <f t="shared" si="0"/>
        <v>34.3944356810474</v>
      </c>
      <c r="E38" s="51">
        <f t="shared" si="1"/>
        <v>-2495438.85</v>
      </c>
    </row>
    <row r="39" spans="1:5" ht="20.25" customHeight="1">
      <c r="A39" s="31" t="s">
        <v>69</v>
      </c>
      <c r="B39" s="25"/>
      <c r="C39" s="26"/>
      <c r="D39" s="27" t="str">
        <f t="shared" si="0"/>
        <v>   </v>
      </c>
      <c r="E39" s="51">
        <f t="shared" si="1"/>
        <v>0</v>
      </c>
    </row>
    <row r="40" spans="1:5" ht="12.75">
      <c r="A40" s="23" t="s">
        <v>15</v>
      </c>
      <c r="B40" s="53"/>
      <c r="C40" s="54"/>
      <c r="D40" s="27" t="str">
        <f t="shared" si="0"/>
        <v>   </v>
      </c>
      <c r="E40" s="51">
        <f t="shared" si="1"/>
        <v>0</v>
      </c>
    </row>
    <row r="41" spans="1:5" ht="12.75">
      <c r="A41" s="17" t="s">
        <v>49</v>
      </c>
      <c r="B41" s="26">
        <v>758300</v>
      </c>
      <c r="C41" s="26">
        <v>263362.91</v>
      </c>
      <c r="D41" s="27">
        <f t="shared" si="0"/>
        <v>34.73070156929975</v>
      </c>
      <c r="E41" s="51">
        <f t="shared" si="1"/>
        <v>-494937.09</v>
      </c>
    </row>
    <row r="42" spans="1:5" ht="13.5" customHeight="1">
      <c r="A42" s="17" t="s">
        <v>50</v>
      </c>
      <c r="B42" s="26">
        <v>757800</v>
      </c>
      <c r="C42" s="26">
        <v>263362.91</v>
      </c>
      <c r="D42" s="27">
        <f t="shared" si="0"/>
        <v>34.75361704935339</v>
      </c>
      <c r="E42" s="51">
        <f t="shared" si="1"/>
        <v>-494437.09</v>
      </c>
    </row>
    <row r="43" spans="1:5" ht="12.75">
      <c r="A43" s="123" t="s">
        <v>264</v>
      </c>
      <c r="B43" s="26">
        <v>476900</v>
      </c>
      <c r="C43" s="29">
        <v>169022.77</v>
      </c>
      <c r="D43" s="27">
        <f t="shared" si="0"/>
        <v>35.441973159991605</v>
      </c>
      <c r="E43" s="51">
        <f t="shared" si="1"/>
        <v>-307877.23</v>
      </c>
    </row>
    <row r="44" spans="1:5" ht="12.75">
      <c r="A44" s="17" t="s">
        <v>217</v>
      </c>
      <c r="B44" s="26">
        <v>100</v>
      </c>
      <c r="C44" s="29">
        <v>0</v>
      </c>
      <c r="D44" s="27">
        <f t="shared" si="0"/>
        <v>0</v>
      </c>
      <c r="E44" s="51">
        <f t="shared" si="1"/>
        <v>-100</v>
      </c>
    </row>
    <row r="45" spans="1:5" ht="12.75">
      <c r="A45" s="17" t="s">
        <v>169</v>
      </c>
      <c r="B45" s="26">
        <v>500</v>
      </c>
      <c r="C45" s="28">
        <v>0</v>
      </c>
      <c r="D45" s="27">
        <f t="shared" si="0"/>
        <v>0</v>
      </c>
      <c r="E45" s="51">
        <f t="shared" si="1"/>
        <v>-500</v>
      </c>
    </row>
    <row r="46" spans="1:5" ht="12.75">
      <c r="A46" s="17" t="s">
        <v>70</v>
      </c>
      <c r="B46" s="28">
        <f>SUM(B47)</f>
        <v>114800</v>
      </c>
      <c r="C46" s="28">
        <f>SUM(C47)</f>
        <v>45018.13</v>
      </c>
      <c r="D46" s="27">
        <f t="shared" si="0"/>
        <v>39.21439895470383</v>
      </c>
      <c r="E46" s="51">
        <f t="shared" si="1"/>
        <v>-69781.87</v>
      </c>
    </row>
    <row r="47" spans="1:5" ht="13.5" customHeight="1">
      <c r="A47" s="44" t="s">
        <v>212</v>
      </c>
      <c r="B47" s="26">
        <v>114800</v>
      </c>
      <c r="C47" s="28">
        <v>45018.13</v>
      </c>
      <c r="D47" s="27">
        <f t="shared" si="0"/>
        <v>39.21439895470383</v>
      </c>
      <c r="E47" s="51">
        <f t="shared" si="1"/>
        <v>-69781.87</v>
      </c>
    </row>
    <row r="48" spans="1:5" ht="15" customHeight="1">
      <c r="A48" s="17" t="s">
        <v>51</v>
      </c>
      <c r="B48" s="26">
        <f>SUM(B49)</f>
        <v>900</v>
      </c>
      <c r="C48" s="26">
        <f>SUM(C49)</f>
        <v>0</v>
      </c>
      <c r="D48" s="27">
        <f t="shared" si="0"/>
        <v>0</v>
      </c>
      <c r="E48" s="51">
        <f t="shared" si="1"/>
        <v>-900</v>
      </c>
    </row>
    <row r="49" spans="1:5" ht="22.5" customHeight="1">
      <c r="A49" s="49" t="s">
        <v>154</v>
      </c>
      <c r="B49" s="26">
        <v>900</v>
      </c>
      <c r="C49" s="28">
        <v>0</v>
      </c>
      <c r="D49" s="27">
        <f t="shared" si="0"/>
        <v>0</v>
      </c>
      <c r="E49" s="51">
        <f t="shared" si="1"/>
        <v>-900</v>
      </c>
    </row>
    <row r="50" spans="1:5" ht="12.75">
      <c r="A50" s="17" t="s">
        <v>52</v>
      </c>
      <c r="B50" s="26">
        <f>SUM(B51)</f>
        <v>0</v>
      </c>
      <c r="C50" s="26">
        <f>SUM(C51)</f>
        <v>0</v>
      </c>
      <c r="D50" s="27" t="str">
        <f t="shared" si="0"/>
        <v>   </v>
      </c>
      <c r="E50" s="51">
        <f t="shared" si="1"/>
        <v>0</v>
      </c>
    </row>
    <row r="51" spans="1:5" ht="15.75" customHeight="1">
      <c r="A51" s="17" t="s">
        <v>62</v>
      </c>
      <c r="B51" s="26">
        <f>SUM(B52)</f>
        <v>0</v>
      </c>
      <c r="C51" s="26">
        <f>SUM(C52)</f>
        <v>0</v>
      </c>
      <c r="D51" s="27" t="str">
        <f t="shared" si="0"/>
        <v>   </v>
      </c>
      <c r="E51" s="51">
        <f t="shared" si="1"/>
        <v>0</v>
      </c>
    </row>
    <row r="52" spans="1:5" ht="12.75">
      <c r="A52" s="17" t="s">
        <v>77</v>
      </c>
      <c r="B52" s="26">
        <v>0</v>
      </c>
      <c r="C52" s="26">
        <v>0</v>
      </c>
      <c r="D52" s="27" t="str">
        <f t="shared" si="0"/>
        <v>   </v>
      </c>
      <c r="E52" s="51">
        <f t="shared" si="1"/>
        <v>0</v>
      </c>
    </row>
    <row r="53" spans="1:5" ht="15.75" customHeight="1">
      <c r="A53" s="17" t="s">
        <v>16</v>
      </c>
      <c r="B53" s="26">
        <f>SUM(B55,B54)</f>
        <v>887000</v>
      </c>
      <c r="C53" s="26">
        <f>SUM(C55,C54)</f>
        <v>353203.24</v>
      </c>
      <c r="D53" s="27">
        <f t="shared" si="0"/>
        <v>39.819981961668546</v>
      </c>
      <c r="E53" s="51">
        <f t="shared" si="1"/>
        <v>-533796.76</v>
      </c>
    </row>
    <row r="54" spans="1:5" ht="15.75" customHeight="1">
      <c r="A54" s="17" t="s">
        <v>155</v>
      </c>
      <c r="B54" s="26">
        <v>0</v>
      </c>
      <c r="C54" s="26">
        <v>0</v>
      </c>
      <c r="D54" s="27" t="str">
        <f t="shared" si="0"/>
        <v>   </v>
      </c>
      <c r="E54" s="51">
        <f t="shared" si="1"/>
        <v>0</v>
      </c>
    </row>
    <row r="55" spans="1:5" ht="12.75">
      <c r="A55" s="17" t="s">
        <v>87</v>
      </c>
      <c r="B55" s="26">
        <v>887000</v>
      </c>
      <c r="C55" s="26">
        <v>353203.24</v>
      </c>
      <c r="D55" s="27">
        <f t="shared" si="0"/>
        <v>39.819981961668546</v>
      </c>
      <c r="E55" s="51">
        <f t="shared" si="1"/>
        <v>-533796.76</v>
      </c>
    </row>
    <row r="56" spans="1:5" ht="12.75">
      <c r="A56" s="17" t="s">
        <v>85</v>
      </c>
      <c r="B56" s="26">
        <v>305000</v>
      </c>
      <c r="C56" s="28">
        <v>220000</v>
      </c>
      <c r="D56" s="27">
        <f t="shared" si="0"/>
        <v>72.1311475409836</v>
      </c>
      <c r="E56" s="51">
        <f t="shared" si="1"/>
        <v>-85000</v>
      </c>
    </row>
    <row r="57" spans="1:5" ht="12.75">
      <c r="A57" s="17" t="s">
        <v>133</v>
      </c>
      <c r="B57" s="26">
        <v>352000</v>
      </c>
      <c r="C57" s="28">
        <v>48718</v>
      </c>
      <c r="D57" s="27">
        <f t="shared" si="0"/>
        <v>13.840340909090909</v>
      </c>
      <c r="E57" s="51">
        <f t="shared" si="1"/>
        <v>-303282</v>
      </c>
    </row>
    <row r="58" spans="1:5" ht="12.75">
      <c r="A58" s="17" t="s">
        <v>134</v>
      </c>
      <c r="B58" s="26">
        <v>200000</v>
      </c>
      <c r="C58" s="28">
        <v>74485.24</v>
      </c>
      <c r="D58" s="27">
        <f t="shared" si="0"/>
        <v>37.24262</v>
      </c>
      <c r="E58" s="51">
        <f t="shared" si="1"/>
        <v>-125514.76</v>
      </c>
    </row>
    <row r="59" spans="1:5" ht="12.75">
      <c r="A59" s="17" t="s">
        <v>148</v>
      </c>
      <c r="B59" s="26">
        <v>0</v>
      </c>
      <c r="C59" s="28">
        <v>0</v>
      </c>
      <c r="D59" s="27" t="str">
        <f t="shared" si="0"/>
        <v>   </v>
      </c>
      <c r="E59" s="51">
        <f t="shared" si="1"/>
        <v>0</v>
      </c>
    </row>
    <row r="60" spans="1:5" ht="12.75">
      <c r="A60" s="17" t="s">
        <v>88</v>
      </c>
      <c r="B60" s="26">
        <v>30000</v>
      </c>
      <c r="C60" s="28">
        <v>10000</v>
      </c>
      <c r="D60" s="27">
        <f t="shared" si="0"/>
        <v>33.33333333333333</v>
      </c>
      <c r="E60" s="51">
        <f t="shared" si="1"/>
        <v>-20000</v>
      </c>
    </row>
    <row r="61" spans="1:5" ht="18" customHeight="1">
      <c r="A61" s="19" t="s">
        <v>25</v>
      </c>
      <c r="B61" s="32">
        <v>10000</v>
      </c>
      <c r="C61" s="32">
        <v>910</v>
      </c>
      <c r="D61" s="27">
        <f t="shared" si="0"/>
        <v>9.1</v>
      </c>
      <c r="E61" s="51">
        <f t="shared" si="1"/>
        <v>-9090</v>
      </c>
    </row>
    <row r="62" spans="1:5" ht="15" customHeight="1">
      <c r="A62" s="17" t="s">
        <v>55</v>
      </c>
      <c r="B62" s="25">
        <f>B63</f>
        <v>1923700</v>
      </c>
      <c r="C62" s="25">
        <f>C63</f>
        <v>758979.42</v>
      </c>
      <c r="D62" s="27">
        <f t="shared" si="0"/>
        <v>39.454146696470346</v>
      </c>
      <c r="E62" s="51">
        <f t="shared" si="1"/>
        <v>-1164720.58</v>
      </c>
    </row>
    <row r="63" spans="1:5" ht="12.75">
      <c r="A63" s="17" t="s">
        <v>56</v>
      </c>
      <c r="B63" s="26">
        <v>1923700</v>
      </c>
      <c r="C63" s="28">
        <v>758979.42</v>
      </c>
      <c r="D63" s="27">
        <f t="shared" si="0"/>
        <v>39.454146696470346</v>
      </c>
      <c r="E63" s="51">
        <f t="shared" si="1"/>
        <v>-1164720.58</v>
      </c>
    </row>
    <row r="64" spans="1:5" ht="12.75">
      <c r="A64" s="123" t="s">
        <v>265</v>
      </c>
      <c r="B64" s="26">
        <v>1050900</v>
      </c>
      <c r="C64" s="28">
        <v>371643.62</v>
      </c>
      <c r="D64" s="27">
        <f t="shared" si="0"/>
        <v>35.36431820344467</v>
      </c>
      <c r="E64" s="51">
        <f t="shared" si="1"/>
        <v>-679256.38</v>
      </c>
    </row>
    <row r="65" spans="1:5" ht="12.75">
      <c r="A65" s="17" t="s">
        <v>213</v>
      </c>
      <c r="B65" s="26">
        <v>7500</v>
      </c>
      <c r="C65" s="28">
        <v>0</v>
      </c>
      <c r="D65" s="27">
        <f t="shared" si="0"/>
        <v>0</v>
      </c>
      <c r="E65" s="51">
        <f t="shared" si="1"/>
        <v>-7500</v>
      </c>
    </row>
    <row r="66" spans="1:5" ht="12.75">
      <c r="A66" s="17" t="s">
        <v>271</v>
      </c>
      <c r="B66" s="26">
        <f>SUM(B67,)</f>
        <v>20000</v>
      </c>
      <c r="C66" s="26">
        <f>SUM(C67,)</f>
        <v>0</v>
      </c>
      <c r="D66" s="27">
        <f t="shared" si="0"/>
        <v>0</v>
      </c>
      <c r="E66" s="51">
        <f t="shared" si="1"/>
        <v>-20000</v>
      </c>
    </row>
    <row r="67" spans="1:5" ht="12.75">
      <c r="A67" s="17" t="s">
        <v>57</v>
      </c>
      <c r="B67" s="26">
        <v>20000</v>
      </c>
      <c r="C67" s="29">
        <v>0</v>
      </c>
      <c r="D67" s="27">
        <f t="shared" si="0"/>
        <v>0</v>
      </c>
      <c r="E67" s="51">
        <f t="shared" si="1"/>
        <v>-20000</v>
      </c>
    </row>
    <row r="68" spans="1:5" ht="12.75">
      <c r="A68" s="17" t="s">
        <v>18</v>
      </c>
      <c r="B68" s="26">
        <f>B69</f>
        <v>352900</v>
      </c>
      <c r="C68" s="26">
        <f>C69</f>
        <v>0</v>
      </c>
      <c r="D68" s="27">
        <f t="shared" si="0"/>
        <v>0</v>
      </c>
      <c r="E68" s="51">
        <f t="shared" si="1"/>
        <v>-352900</v>
      </c>
    </row>
    <row r="69" spans="1:5" ht="14.25" customHeight="1">
      <c r="A69" s="17" t="s">
        <v>278</v>
      </c>
      <c r="B69" s="26">
        <f>SUM(B79,B70)</f>
        <v>352900</v>
      </c>
      <c r="C69" s="26">
        <f>SUM(C79,C70)</f>
        <v>0</v>
      </c>
      <c r="D69" s="27">
        <f t="shared" si="0"/>
        <v>0</v>
      </c>
      <c r="E69" s="51">
        <f t="shared" si="1"/>
        <v>-352900</v>
      </c>
    </row>
    <row r="70" spans="1:5" ht="18" customHeight="1">
      <c r="A70" s="126" t="s">
        <v>279</v>
      </c>
      <c r="B70" s="127">
        <f>SUM(B71,B75)</f>
        <v>113500</v>
      </c>
      <c r="C70" s="127">
        <f>SUM(C71,C75)</f>
        <v>0</v>
      </c>
      <c r="D70" s="27">
        <f t="shared" si="0"/>
        <v>0</v>
      </c>
      <c r="E70" s="51">
        <f t="shared" si="1"/>
        <v>-113500</v>
      </c>
    </row>
    <row r="71" spans="1:5" ht="17.25" customHeight="1">
      <c r="A71" s="17" t="s">
        <v>284</v>
      </c>
      <c r="B71" s="26">
        <f>SUM(B72:B74)</f>
        <v>113500</v>
      </c>
      <c r="C71" s="26">
        <f>SUM(C72:C74)</f>
        <v>0</v>
      </c>
      <c r="D71" s="27">
        <f aca="true" t="shared" si="2" ref="D71:D84">IF(B71=0,"   ",C71/B71*100)</f>
        <v>0</v>
      </c>
      <c r="E71" s="51">
        <f t="shared" si="1"/>
        <v>-113500</v>
      </c>
    </row>
    <row r="72" spans="1:5" ht="17.25" customHeight="1">
      <c r="A72" s="49" t="s">
        <v>292</v>
      </c>
      <c r="B72" s="26"/>
      <c r="C72" s="28"/>
      <c r="D72" s="27" t="str">
        <f t="shared" si="2"/>
        <v>   </v>
      </c>
      <c r="E72" s="51">
        <f t="shared" si="1"/>
        <v>0</v>
      </c>
    </row>
    <row r="73" spans="1:5" ht="17.25" customHeight="1">
      <c r="A73" s="49" t="s">
        <v>293</v>
      </c>
      <c r="B73" s="26">
        <v>0</v>
      </c>
      <c r="C73" s="28"/>
      <c r="D73" s="27" t="str">
        <f t="shared" si="2"/>
        <v>   </v>
      </c>
      <c r="E73" s="51">
        <f t="shared" si="1"/>
        <v>0</v>
      </c>
    </row>
    <row r="74" spans="1:5" ht="17.25" customHeight="1">
      <c r="A74" s="49" t="s">
        <v>294</v>
      </c>
      <c r="B74" s="26">
        <v>113500</v>
      </c>
      <c r="C74" s="28"/>
      <c r="D74" s="27">
        <f t="shared" si="2"/>
        <v>0</v>
      </c>
      <c r="E74" s="51">
        <f t="shared" si="1"/>
        <v>-113500</v>
      </c>
    </row>
    <row r="75" spans="1:5" ht="26.25" customHeight="1">
      <c r="A75" s="17" t="s">
        <v>283</v>
      </c>
      <c r="B75" s="26">
        <f>SUM(B76:B78)</f>
        <v>0</v>
      </c>
      <c r="C75" s="26">
        <f>SUM(C76:C78)</f>
        <v>0</v>
      </c>
      <c r="D75" s="27" t="str">
        <f t="shared" si="2"/>
        <v>   </v>
      </c>
      <c r="E75" s="51">
        <f t="shared" si="1"/>
        <v>0</v>
      </c>
    </row>
    <row r="76" spans="1:5" ht="13.5" customHeight="1">
      <c r="A76" s="49" t="s">
        <v>292</v>
      </c>
      <c r="B76" s="26"/>
      <c r="C76" s="28"/>
      <c r="D76" s="27" t="str">
        <f t="shared" si="2"/>
        <v>   </v>
      </c>
      <c r="E76" s="51">
        <f t="shared" si="1"/>
        <v>0</v>
      </c>
    </row>
    <row r="77" spans="1:5" ht="13.5" customHeight="1">
      <c r="A77" s="49" t="s">
        <v>293</v>
      </c>
      <c r="B77" s="26"/>
      <c r="C77" s="28"/>
      <c r="D77" s="27" t="str">
        <f t="shared" si="2"/>
        <v>   </v>
      </c>
      <c r="E77" s="51">
        <f t="shared" si="1"/>
        <v>0</v>
      </c>
    </row>
    <row r="78" spans="1:5" ht="13.5" customHeight="1">
      <c r="A78" s="49" t="s">
        <v>294</v>
      </c>
      <c r="B78" s="26"/>
      <c r="C78" s="28"/>
      <c r="D78" s="27" t="str">
        <f t="shared" si="2"/>
        <v>   </v>
      </c>
      <c r="E78" s="51">
        <f t="shared" si="1"/>
        <v>0</v>
      </c>
    </row>
    <row r="79" spans="1:5" ht="17.25" customHeight="1">
      <c r="A79" s="126" t="s">
        <v>285</v>
      </c>
      <c r="B79" s="127">
        <f>SUM(B80:B82)</f>
        <v>239400</v>
      </c>
      <c r="C79" s="127">
        <f>SUM(C80:C82)</f>
        <v>0</v>
      </c>
      <c r="D79" s="27">
        <f t="shared" si="2"/>
        <v>0</v>
      </c>
      <c r="E79" s="51">
        <f t="shared" si="1"/>
        <v>-239400</v>
      </c>
    </row>
    <row r="80" spans="1:5" ht="12" customHeight="1">
      <c r="A80" s="49" t="s">
        <v>292</v>
      </c>
      <c r="B80" s="127"/>
      <c r="C80" s="128"/>
      <c r="D80" s="27" t="str">
        <f t="shared" si="2"/>
        <v>   </v>
      </c>
      <c r="E80" s="51">
        <f t="shared" si="1"/>
        <v>0</v>
      </c>
    </row>
    <row r="81" spans="1:5" ht="11.25" customHeight="1">
      <c r="A81" s="49" t="s">
        <v>293</v>
      </c>
      <c r="B81" s="127">
        <v>191500</v>
      </c>
      <c r="C81" s="128"/>
      <c r="D81" s="27">
        <f t="shared" si="2"/>
        <v>0</v>
      </c>
      <c r="E81" s="51">
        <f t="shared" si="1"/>
        <v>-191500</v>
      </c>
    </row>
    <row r="82" spans="1:5" ht="11.25" customHeight="1">
      <c r="A82" s="49" t="s">
        <v>294</v>
      </c>
      <c r="B82" s="127">
        <v>47900</v>
      </c>
      <c r="C82" s="128"/>
      <c r="D82" s="27">
        <f t="shared" si="2"/>
        <v>0</v>
      </c>
      <c r="E82" s="51">
        <f t="shared" si="1"/>
        <v>-47900</v>
      </c>
    </row>
    <row r="83" spans="1:5" ht="18" customHeight="1">
      <c r="A83" s="16" t="s">
        <v>19</v>
      </c>
      <c r="B83" s="25">
        <f>SUM(B41,B46,B48,B50,B53,B61,B62,B66,B68,)</f>
        <v>4067600</v>
      </c>
      <c r="C83" s="25">
        <f>SUM(C41,C46,C48,C50,C53,C61,C62,C66,C68,)</f>
        <v>1421473.7000000002</v>
      </c>
      <c r="D83" s="27">
        <f t="shared" si="2"/>
        <v>34.946250860458264</v>
      </c>
      <c r="E83" s="51">
        <f t="shared" si="1"/>
        <v>-2646126.3</v>
      </c>
    </row>
    <row r="84" spans="1:5" ht="16.5" customHeight="1" thickBot="1">
      <c r="A84" s="100" t="s">
        <v>267</v>
      </c>
      <c r="B84" s="101">
        <f>B43+B64</f>
        <v>1527800</v>
      </c>
      <c r="C84" s="101">
        <f>C43+C64</f>
        <v>540666.39</v>
      </c>
      <c r="D84" s="102">
        <f t="shared" si="2"/>
        <v>35.38855805733735</v>
      </c>
      <c r="E84" s="103">
        <f t="shared" si="1"/>
        <v>-987133.61</v>
      </c>
    </row>
    <row r="85" spans="1:5" ht="45" customHeight="1">
      <c r="A85" s="67" t="s">
        <v>21</v>
      </c>
      <c r="B85" s="67"/>
      <c r="C85" s="142"/>
      <c r="D85" s="142"/>
      <c r="E85" s="142"/>
    </row>
    <row r="86" spans="1:5" ht="13.5" customHeight="1">
      <c r="A86" s="67" t="s">
        <v>65</v>
      </c>
      <c r="B86" s="67"/>
      <c r="C86" s="68" t="s">
        <v>66</v>
      </c>
      <c r="D86" s="69"/>
      <c r="E86" s="70"/>
    </row>
    <row r="87" spans="1:5" ht="12.75">
      <c r="A87" s="7"/>
      <c r="B87" s="7"/>
      <c r="C87" s="6"/>
      <c r="D87" s="7"/>
      <c r="E87" s="2"/>
    </row>
    <row r="88" spans="1:5" ht="12.75">
      <c r="A88" s="7"/>
      <c r="B88" s="7"/>
      <c r="C88" s="6"/>
      <c r="D88" s="7"/>
      <c r="E88" s="2"/>
    </row>
    <row r="89" spans="1:5" ht="12.75">
      <c r="A89" s="7"/>
      <c r="B89" s="7"/>
      <c r="C89" s="6"/>
      <c r="D89" s="7"/>
      <c r="E89" s="2"/>
    </row>
    <row r="90" spans="1:5" ht="12.75">
      <c r="A90" s="7"/>
      <c r="B90" s="7"/>
      <c r="C90" s="6"/>
      <c r="D90" s="7"/>
      <c r="E90" s="2"/>
    </row>
  </sheetData>
  <mergeCells count="2">
    <mergeCell ref="A1:E1"/>
    <mergeCell ref="C85:E85"/>
  </mergeCells>
  <printOptions/>
  <pageMargins left="0.75" right="0.75" top="0.48" bottom="0.46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1"/>
  <sheetViews>
    <sheetView zoomScale="75" zoomScaleNormal="75" workbookViewId="0" topLeftCell="A40">
      <selection activeCell="A70" sqref="A70:IV70"/>
    </sheetView>
  </sheetViews>
  <sheetFormatPr defaultColWidth="9.00390625" defaultRowHeight="12.75"/>
  <cols>
    <col min="1" max="1" width="89.25390625" style="0" customWidth="1"/>
    <col min="2" max="2" width="18.625" style="0" customWidth="1"/>
    <col min="3" max="3" width="19.25390625" style="0" customWidth="1"/>
    <col min="4" max="4" width="18.25390625" style="0" customWidth="1"/>
    <col min="5" max="5" width="19.125" style="0" customWidth="1"/>
  </cols>
  <sheetData>
    <row r="1" spans="1:5" ht="18">
      <c r="A1" s="141" t="s">
        <v>312</v>
      </c>
      <c r="B1" s="141"/>
      <c r="C1" s="141"/>
      <c r="D1" s="141"/>
      <c r="E1" s="141"/>
    </row>
    <row r="2" spans="1:5" ht="12.75">
      <c r="A2" s="4"/>
      <c r="B2" s="4"/>
      <c r="C2" s="3"/>
      <c r="D2" s="3"/>
      <c r="E2" s="3"/>
    </row>
    <row r="3" spans="1:5" ht="13.5" thickBot="1">
      <c r="A3" s="4"/>
      <c r="B3" s="4"/>
      <c r="C3" s="5"/>
      <c r="D3" s="4"/>
      <c r="E3" s="4" t="s">
        <v>0</v>
      </c>
    </row>
    <row r="4" spans="1:5" ht="63">
      <c r="A4" s="36" t="s">
        <v>1</v>
      </c>
      <c r="B4" s="20" t="s">
        <v>245</v>
      </c>
      <c r="C4" s="33" t="s">
        <v>307</v>
      </c>
      <c r="D4" s="20" t="s">
        <v>253</v>
      </c>
      <c r="E4" s="20" t="s">
        <v>254</v>
      </c>
    </row>
    <row r="5" spans="1:5" ht="12.75">
      <c r="A5" s="13">
        <v>1</v>
      </c>
      <c r="B5" s="99">
        <v>2</v>
      </c>
      <c r="C5" s="10">
        <v>3</v>
      </c>
      <c r="D5" s="30">
        <v>4</v>
      </c>
      <c r="E5" s="14">
        <v>5</v>
      </c>
    </row>
    <row r="6" spans="1:5" ht="12.75">
      <c r="A6" s="23" t="s">
        <v>2</v>
      </c>
      <c r="B6" s="11"/>
      <c r="C6" s="12"/>
      <c r="D6" s="26"/>
      <c r="E6" s="15"/>
    </row>
    <row r="7" spans="1:5" ht="12.75">
      <c r="A7" s="18" t="s">
        <v>59</v>
      </c>
      <c r="B7" s="25">
        <f>SUM(B8)</f>
        <v>84400</v>
      </c>
      <c r="C7" s="25">
        <f>C8</f>
        <v>29567.89</v>
      </c>
      <c r="D7" s="27">
        <f aca="true" t="shared" si="0" ref="D7:D70">IF(B7=0,"   ",C7/B7*100)</f>
        <v>35.03304502369668</v>
      </c>
      <c r="E7" s="51">
        <f aca="true" t="shared" si="1" ref="E7:E75">C7-B7</f>
        <v>-54832.11</v>
      </c>
    </row>
    <row r="8" spans="1:5" ht="12.75">
      <c r="A8" s="17" t="s">
        <v>58</v>
      </c>
      <c r="B8" s="26">
        <v>84400</v>
      </c>
      <c r="C8" s="28">
        <v>29567.89</v>
      </c>
      <c r="D8" s="27">
        <f t="shared" si="0"/>
        <v>35.03304502369668</v>
      </c>
      <c r="E8" s="51">
        <f t="shared" si="1"/>
        <v>-54832.11</v>
      </c>
    </row>
    <row r="9" spans="1:5" ht="13.5" customHeight="1">
      <c r="A9" s="17" t="s">
        <v>7</v>
      </c>
      <c r="B9" s="26">
        <f>SUM(B10:B10)</f>
        <v>71100</v>
      </c>
      <c r="C9" s="26">
        <f>SUM(C10:C10)</f>
        <v>9870</v>
      </c>
      <c r="D9" s="27">
        <f t="shared" si="0"/>
        <v>13.881856540084389</v>
      </c>
      <c r="E9" s="51">
        <f t="shared" si="1"/>
        <v>-61230</v>
      </c>
    </row>
    <row r="10" spans="1:5" ht="13.5" customHeight="1">
      <c r="A10" s="17" t="s">
        <v>39</v>
      </c>
      <c r="B10" s="26">
        <v>71100</v>
      </c>
      <c r="C10" s="28">
        <v>9870</v>
      </c>
      <c r="D10" s="27">
        <f t="shared" si="0"/>
        <v>13.881856540084389</v>
      </c>
      <c r="E10" s="51">
        <f t="shared" si="1"/>
        <v>-61230</v>
      </c>
    </row>
    <row r="11" spans="1:5" ht="12.75">
      <c r="A11" s="17" t="s">
        <v>9</v>
      </c>
      <c r="B11" s="26">
        <f>SUM(B12:B13)</f>
        <v>115600</v>
      </c>
      <c r="C11" s="26">
        <f>SUM(C12:C13)</f>
        <v>15522.859999999999</v>
      </c>
      <c r="D11" s="27">
        <f t="shared" si="0"/>
        <v>13.428079584775086</v>
      </c>
      <c r="E11" s="51">
        <f t="shared" si="1"/>
        <v>-100077.14</v>
      </c>
    </row>
    <row r="12" spans="1:5" ht="13.5" customHeight="1">
      <c r="A12" s="17" t="s">
        <v>40</v>
      </c>
      <c r="B12" s="26">
        <v>55400</v>
      </c>
      <c r="C12" s="28">
        <v>5283.65</v>
      </c>
      <c r="D12" s="27">
        <f t="shared" si="0"/>
        <v>9.537274368231047</v>
      </c>
      <c r="E12" s="51">
        <f t="shared" si="1"/>
        <v>-50116.35</v>
      </c>
    </row>
    <row r="13" spans="1:5" ht="12.75">
      <c r="A13" s="17" t="s">
        <v>10</v>
      </c>
      <c r="B13" s="26">
        <v>60200</v>
      </c>
      <c r="C13" s="28">
        <v>10239.21</v>
      </c>
      <c r="D13" s="27">
        <f t="shared" si="0"/>
        <v>17.00865448504983</v>
      </c>
      <c r="E13" s="51">
        <f t="shared" si="1"/>
        <v>-49960.79</v>
      </c>
    </row>
    <row r="14" spans="1:5" ht="25.5">
      <c r="A14" s="17" t="s">
        <v>151</v>
      </c>
      <c r="B14" s="26">
        <v>0</v>
      </c>
      <c r="C14" s="28">
        <v>22.85</v>
      </c>
      <c r="D14" s="27" t="str">
        <f t="shared" si="0"/>
        <v>   </v>
      </c>
      <c r="E14" s="51">
        <f t="shared" si="1"/>
        <v>22.85</v>
      </c>
    </row>
    <row r="15" spans="1:5" ht="26.25" customHeight="1">
      <c r="A15" s="17" t="s">
        <v>41</v>
      </c>
      <c r="B15" s="26">
        <v>29900</v>
      </c>
      <c r="C15" s="25">
        <f>SUM(C16:C17)</f>
        <v>4982.04</v>
      </c>
      <c r="D15" s="27">
        <f t="shared" si="0"/>
        <v>16.662341137123747</v>
      </c>
      <c r="E15" s="51">
        <f t="shared" si="1"/>
        <v>-24917.96</v>
      </c>
    </row>
    <row r="16" spans="1:5" ht="12.75">
      <c r="A16" s="17" t="s">
        <v>42</v>
      </c>
      <c r="B16" s="26">
        <v>29900</v>
      </c>
      <c r="C16" s="28">
        <v>1587.48</v>
      </c>
      <c r="D16" s="27">
        <f t="shared" si="0"/>
        <v>5.309297658862876</v>
      </c>
      <c r="E16" s="51">
        <f t="shared" si="1"/>
        <v>-28312.52</v>
      </c>
    </row>
    <row r="17" spans="1:5" ht="25.5" customHeight="1">
      <c r="A17" s="17" t="s">
        <v>43</v>
      </c>
      <c r="B17" s="26">
        <v>0</v>
      </c>
      <c r="C17" s="28">
        <v>3394.56</v>
      </c>
      <c r="D17" s="27" t="str">
        <f t="shared" si="0"/>
        <v>   </v>
      </c>
      <c r="E17" s="51">
        <f t="shared" si="1"/>
        <v>3394.56</v>
      </c>
    </row>
    <row r="18" spans="1:5" ht="18.75" customHeight="1">
      <c r="A18" s="44" t="s">
        <v>156</v>
      </c>
      <c r="B18" s="26">
        <v>0</v>
      </c>
      <c r="C18" s="28">
        <v>0</v>
      </c>
      <c r="D18" s="27" t="str">
        <f t="shared" si="0"/>
        <v>   </v>
      </c>
      <c r="E18" s="51">
        <f t="shared" si="1"/>
        <v>0</v>
      </c>
    </row>
    <row r="19" spans="1:5" ht="18.75" customHeight="1">
      <c r="A19" s="17" t="s">
        <v>109</v>
      </c>
      <c r="B19" s="26">
        <f>SUM(B20)</f>
        <v>14000</v>
      </c>
      <c r="C19" s="26">
        <f>SUM(C20)</f>
        <v>1858.3</v>
      </c>
      <c r="D19" s="27">
        <f t="shared" si="0"/>
        <v>13.27357142857143</v>
      </c>
      <c r="E19" s="51">
        <f t="shared" si="1"/>
        <v>-12141.7</v>
      </c>
    </row>
    <row r="20" spans="1:5" ht="26.25" customHeight="1">
      <c r="A20" s="17" t="s">
        <v>110</v>
      </c>
      <c r="B20" s="26">
        <v>14000</v>
      </c>
      <c r="C20" s="28">
        <v>1858.3</v>
      </c>
      <c r="D20" s="27">
        <f t="shared" si="0"/>
        <v>13.27357142857143</v>
      </c>
      <c r="E20" s="51">
        <f t="shared" si="1"/>
        <v>-12141.7</v>
      </c>
    </row>
    <row r="21" spans="1:5" ht="17.25" customHeight="1">
      <c r="A21" s="17" t="s">
        <v>45</v>
      </c>
      <c r="B21" s="26">
        <f>SUM(B22)</f>
        <v>0</v>
      </c>
      <c r="C21" s="25">
        <v>2864.08</v>
      </c>
      <c r="D21" s="27" t="str">
        <f t="shared" si="0"/>
        <v>   </v>
      </c>
      <c r="E21" s="51">
        <f t="shared" si="1"/>
        <v>2864.08</v>
      </c>
    </row>
    <row r="22" spans="1:5" ht="15.75" customHeight="1">
      <c r="A22" s="17" t="s">
        <v>218</v>
      </c>
      <c r="B22" s="26">
        <v>0</v>
      </c>
      <c r="C22" s="28">
        <v>11650.49</v>
      </c>
      <c r="D22" s="27" t="str">
        <f t="shared" si="0"/>
        <v>   </v>
      </c>
      <c r="E22" s="51">
        <f t="shared" si="1"/>
        <v>11650.49</v>
      </c>
    </row>
    <row r="23" spans="1:5" ht="15" customHeight="1">
      <c r="A23" s="17" t="s">
        <v>44</v>
      </c>
      <c r="B23" s="26">
        <v>0</v>
      </c>
      <c r="C23" s="26">
        <v>0</v>
      </c>
      <c r="D23" s="27" t="str">
        <f t="shared" si="0"/>
        <v>   </v>
      </c>
      <c r="E23" s="51">
        <f t="shared" si="1"/>
        <v>0</v>
      </c>
    </row>
    <row r="24" spans="1:5" ht="18" customHeight="1">
      <c r="A24" s="16" t="s">
        <v>11</v>
      </c>
      <c r="B24" s="52">
        <f>SUM(B7,B9,B11,B14,B15,B18,B19,B22,B23,)</f>
        <v>315000</v>
      </c>
      <c r="C24" s="52">
        <f>SUM(C7,C9,C11,C14,C15,C18,C19,C22,C23,)</f>
        <v>73474.43000000001</v>
      </c>
      <c r="D24" s="27">
        <f t="shared" si="0"/>
        <v>23.325215873015875</v>
      </c>
      <c r="E24" s="51">
        <f t="shared" si="1"/>
        <v>-241525.57</v>
      </c>
    </row>
    <row r="25" spans="1:5" ht="16.5" customHeight="1">
      <c r="A25" s="18" t="s">
        <v>47</v>
      </c>
      <c r="B25" s="25">
        <v>1127100</v>
      </c>
      <c r="C25" s="25">
        <v>445700</v>
      </c>
      <c r="D25" s="27">
        <f t="shared" si="0"/>
        <v>39.543962381332626</v>
      </c>
      <c r="E25" s="51">
        <f t="shared" si="1"/>
        <v>-681400</v>
      </c>
    </row>
    <row r="26" spans="1:5" ht="13.5" customHeight="1">
      <c r="A26" s="17" t="s">
        <v>68</v>
      </c>
      <c r="B26" s="26">
        <v>300000</v>
      </c>
      <c r="C26" s="28">
        <v>0</v>
      </c>
      <c r="D26" s="27">
        <f t="shared" si="0"/>
        <v>0</v>
      </c>
      <c r="E26" s="51">
        <f t="shared" si="1"/>
        <v>-300000</v>
      </c>
    </row>
    <row r="27" spans="1:5" ht="39" customHeight="1">
      <c r="A27" s="17" t="s">
        <v>72</v>
      </c>
      <c r="B27" s="26">
        <v>45900</v>
      </c>
      <c r="C27" s="28">
        <v>45900</v>
      </c>
      <c r="D27" s="27">
        <f t="shared" si="0"/>
        <v>100</v>
      </c>
      <c r="E27" s="51">
        <f t="shared" si="1"/>
        <v>0</v>
      </c>
    </row>
    <row r="28" spans="1:5" ht="26.25" customHeight="1">
      <c r="A28" s="44" t="s">
        <v>167</v>
      </c>
      <c r="B28" s="26">
        <v>100</v>
      </c>
      <c r="C28" s="26">
        <v>0</v>
      </c>
      <c r="D28" s="27">
        <f t="shared" si="0"/>
        <v>0</v>
      </c>
      <c r="E28" s="51">
        <f t="shared" si="1"/>
        <v>-100</v>
      </c>
    </row>
    <row r="29" spans="1:5" ht="27.75" customHeight="1">
      <c r="A29" s="17" t="s">
        <v>144</v>
      </c>
      <c r="B29" s="26">
        <v>0</v>
      </c>
      <c r="C29" s="28">
        <v>0</v>
      </c>
      <c r="D29" s="27" t="str">
        <f t="shared" si="0"/>
        <v>   </v>
      </c>
      <c r="E29" s="51">
        <f t="shared" si="1"/>
        <v>0</v>
      </c>
    </row>
    <row r="30" spans="1:5" ht="33.75" customHeight="1">
      <c r="A30" s="17" t="s">
        <v>177</v>
      </c>
      <c r="B30" s="26">
        <v>7500</v>
      </c>
      <c r="C30" s="26">
        <v>0</v>
      </c>
      <c r="D30" s="27">
        <f t="shared" si="0"/>
        <v>0</v>
      </c>
      <c r="E30" s="51">
        <f t="shared" si="1"/>
        <v>-7500</v>
      </c>
    </row>
    <row r="31" spans="1:5" ht="16.5" customHeight="1">
      <c r="A31" s="17" t="s">
        <v>114</v>
      </c>
      <c r="B31" s="26">
        <f>B32</f>
        <v>158000</v>
      </c>
      <c r="C31" s="26">
        <f>C32</f>
        <v>49950</v>
      </c>
      <c r="D31" s="27">
        <f t="shared" si="0"/>
        <v>31.613924050632914</v>
      </c>
      <c r="E31" s="51">
        <f t="shared" si="1"/>
        <v>-108050</v>
      </c>
    </row>
    <row r="32" spans="1:5" ht="16.5" customHeight="1">
      <c r="A32" s="17" t="s">
        <v>216</v>
      </c>
      <c r="B32" s="26">
        <v>158000</v>
      </c>
      <c r="C32" s="28">
        <v>49950</v>
      </c>
      <c r="D32" s="27">
        <f t="shared" si="0"/>
        <v>31.613924050632914</v>
      </c>
      <c r="E32" s="51">
        <f t="shared" si="1"/>
        <v>-108050</v>
      </c>
    </row>
    <row r="33" spans="1:5" ht="54.75" customHeight="1">
      <c r="A33" s="17" t="s">
        <v>275</v>
      </c>
      <c r="B33" s="26">
        <v>742500</v>
      </c>
      <c r="C33" s="28">
        <v>0</v>
      </c>
      <c r="D33" s="27">
        <f t="shared" si="0"/>
        <v>0</v>
      </c>
      <c r="E33" s="51">
        <f t="shared" si="1"/>
        <v>-742500</v>
      </c>
    </row>
    <row r="34" spans="1:5" ht="42.75" customHeight="1">
      <c r="A34" s="17" t="s">
        <v>183</v>
      </c>
      <c r="B34" s="26">
        <v>0</v>
      </c>
      <c r="C34" s="26">
        <v>0</v>
      </c>
      <c r="D34" s="27" t="str">
        <f t="shared" si="0"/>
        <v>   </v>
      </c>
      <c r="E34" s="51">
        <f t="shared" si="1"/>
        <v>0</v>
      </c>
    </row>
    <row r="35" spans="1:5" ht="17.25" customHeight="1">
      <c r="A35" s="17" t="s">
        <v>48</v>
      </c>
      <c r="B35" s="26">
        <v>0</v>
      </c>
      <c r="C35" s="28">
        <v>0</v>
      </c>
      <c r="D35" s="27" t="str">
        <f t="shared" si="0"/>
        <v>   </v>
      </c>
      <c r="E35" s="51">
        <f t="shared" si="1"/>
        <v>0</v>
      </c>
    </row>
    <row r="36" spans="1:5" ht="21" customHeight="1">
      <c r="A36" s="16" t="s">
        <v>14</v>
      </c>
      <c r="B36" s="25">
        <f>SUM(B24,B25,B26:B30,B31,B33,B34,B35,)</f>
        <v>2696100</v>
      </c>
      <c r="C36" s="25">
        <f>SUM(C24,C25,C26:C30,C31,C33,C34,C35,)</f>
        <v>615024.4299999999</v>
      </c>
      <c r="D36" s="27">
        <f t="shared" si="0"/>
        <v>22.811632728756347</v>
      </c>
      <c r="E36" s="51">
        <f t="shared" si="1"/>
        <v>-2081075.57</v>
      </c>
    </row>
    <row r="37" spans="1:5" ht="12.75">
      <c r="A37" s="23" t="s">
        <v>15</v>
      </c>
      <c r="B37" s="53"/>
      <c r="C37" s="54"/>
      <c r="D37" s="27" t="str">
        <f t="shared" si="0"/>
        <v>   </v>
      </c>
      <c r="E37" s="51">
        <f t="shared" si="1"/>
        <v>0</v>
      </c>
    </row>
    <row r="38" spans="1:5" ht="12.75">
      <c r="A38" s="17" t="s">
        <v>49</v>
      </c>
      <c r="B38" s="26">
        <v>758300</v>
      </c>
      <c r="C38" s="26">
        <v>248037.75</v>
      </c>
      <c r="D38" s="27">
        <f t="shared" si="0"/>
        <v>32.709712514835815</v>
      </c>
      <c r="E38" s="51">
        <f t="shared" si="1"/>
        <v>-510262.25</v>
      </c>
    </row>
    <row r="39" spans="1:5" ht="13.5" customHeight="1">
      <c r="A39" s="17" t="s">
        <v>50</v>
      </c>
      <c r="B39" s="26">
        <v>757800</v>
      </c>
      <c r="C39" s="26">
        <v>248037.75</v>
      </c>
      <c r="D39" s="27">
        <f t="shared" si="0"/>
        <v>32.7312945368171</v>
      </c>
      <c r="E39" s="51">
        <f t="shared" si="1"/>
        <v>-509762.25</v>
      </c>
    </row>
    <row r="40" spans="1:5" ht="12.75">
      <c r="A40" s="123" t="s">
        <v>265</v>
      </c>
      <c r="B40" s="26">
        <v>476900</v>
      </c>
      <c r="C40" s="29">
        <v>170377.25</v>
      </c>
      <c r="D40" s="27">
        <f t="shared" si="0"/>
        <v>35.72599077374712</v>
      </c>
      <c r="E40" s="51">
        <f t="shared" si="1"/>
        <v>-306522.75</v>
      </c>
    </row>
    <row r="41" spans="1:5" ht="12.75">
      <c r="A41" s="17" t="s">
        <v>217</v>
      </c>
      <c r="B41" s="26">
        <v>100</v>
      </c>
      <c r="C41" s="29">
        <v>0</v>
      </c>
      <c r="D41" s="27">
        <f t="shared" si="0"/>
        <v>0</v>
      </c>
      <c r="E41" s="51">
        <f t="shared" si="1"/>
        <v>-100</v>
      </c>
    </row>
    <row r="42" spans="1:5" ht="12.75">
      <c r="A42" s="17" t="s">
        <v>169</v>
      </c>
      <c r="B42" s="26">
        <v>500</v>
      </c>
      <c r="C42" s="28">
        <v>0</v>
      </c>
      <c r="D42" s="27">
        <f t="shared" si="0"/>
        <v>0</v>
      </c>
      <c r="E42" s="51">
        <f t="shared" si="1"/>
        <v>-500</v>
      </c>
    </row>
    <row r="43" spans="1:5" ht="12.75">
      <c r="A43" s="17" t="s">
        <v>70</v>
      </c>
      <c r="B43" s="28">
        <f>SUM(B44)</f>
        <v>45900</v>
      </c>
      <c r="C43" s="28">
        <f>SUM(C44)</f>
        <v>16237.2</v>
      </c>
      <c r="D43" s="27">
        <f t="shared" si="0"/>
        <v>35.37516339869281</v>
      </c>
      <c r="E43" s="51">
        <f t="shared" si="1"/>
        <v>-29662.8</v>
      </c>
    </row>
    <row r="44" spans="1:5" ht="24" customHeight="1">
      <c r="A44" s="44" t="s">
        <v>212</v>
      </c>
      <c r="B44" s="26">
        <v>45900</v>
      </c>
      <c r="C44" s="28">
        <v>16237.2</v>
      </c>
      <c r="D44" s="27">
        <f t="shared" si="0"/>
        <v>35.37516339869281</v>
      </c>
      <c r="E44" s="51">
        <f t="shared" si="1"/>
        <v>-29662.8</v>
      </c>
    </row>
    <row r="45" spans="1:5" ht="17.25" customHeight="1">
      <c r="A45" s="17" t="s">
        <v>51</v>
      </c>
      <c r="B45" s="26">
        <f>SUM(B46)</f>
        <v>400</v>
      </c>
      <c r="C45" s="28">
        <f>SUM(C46)</f>
        <v>0</v>
      </c>
      <c r="D45" s="27">
        <f t="shared" si="0"/>
        <v>0</v>
      </c>
      <c r="E45" s="51">
        <f t="shared" si="1"/>
        <v>-400</v>
      </c>
    </row>
    <row r="46" spans="1:5" ht="27.75" customHeight="1">
      <c r="A46" s="49" t="s">
        <v>154</v>
      </c>
      <c r="B46" s="26">
        <v>400</v>
      </c>
      <c r="C46" s="28">
        <v>0</v>
      </c>
      <c r="D46" s="27">
        <f t="shared" si="0"/>
        <v>0</v>
      </c>
      <c r="E46" s="51">
        <f t="shared" si="1"/>
        <v>-400</v>
      </c>
    </row>
    <row r="47" spans="1:5" ht="12.75">
      <c r="A47" s="17" t="s">
        <v>52</v>
      </c>
      <c r="B47" s="26">
        <f>SUM(B48:B48)</f>
        <v>0</v>
      </c>
      <c r="C47" s="26">
        <f>SUM(C48:C48)</f>
        <v>0</v>
      </c>
      <c r="D47" s="27" t="str">
        <f t="shared" si="0"/>
        <v>   </v>
      </c>
      <c r="E47" s="51">
        <f t="shared" si="1"/>
        <v>0</v>
      </c>
    </row>
    <row r="48" spans="1:5" ht="12.75">
      <c r="A48" s="17" t="s">
        <v>62</v>
      </c>
      <c r="B48" s="26">
        <f>SUM(B49)</f>
        <v>0</v>
      </c>
      <c r="C48" s="26">
        <f>SUM(C49)</f>
        <v>0</v>
      </c>
      <c r="D48" s="27" t="str">
        <f t="shared" si="0"/>
        <v>   </v>
      </c>
      <c r="E48" s="51">
        <f t="shared" si="1"/>
        <v>0</v>
      </c>
    </row>
    <row r="49" spans="1:5" ht="12.75">
      <c r="A49" s="17" t="s">
        <v>77</v>
      </c>
      <c r="B49" s="26">
        <v>0</v>
      </c>
      <c r="C49" s="26">
        <v>0</v>
      </c>
      <c r="D49" s="27" t="str">
        <f t="shared" si="0"/>
        <v>   </v>
      </c>
      <c r="E49" s="51">
        <f t="shared" si="1"/>
        <v>0</v>
      </c>
    </row>
    <row r="50" spans="1:5" ht="16.5" customHeight="1">
      <c r="A50" s="17" t="s">
        <v>16</v>
      </c>
      <c r="B50" s="26">
        <f>SUM(B51,B52,)</f>
        <v>388800</v>
      </c>
      <c r="C50" s="26">
        <f>SUM(C51,C52,)</f>
        <v>50000</v>
      </c>
      <c r="D50" s="27">
        <f t="shared" si="0"/>
        <v>12.860082304526749</v>
      </c>
      <c r="E50" s="51">
        <f t="shared" si="1"/>
        <v>-338800</v>
      </c>
    </row>
    <row r="51" spans="1:5" ht="12.75">
      <c r="A51" s="17" t="s">
        <v>17</v>
      </c>
      <c r="B51" s="26">
        <v>0</v>
      </c>
      <c r="C51" s="26">
        <v>0</v>
      </c>
      <c r="D51" s="27" t="str">
        <f t="shared" si="0"/>
        <v>   </v>
      </c>
      <c r="E51" s="51">
        <f t="shared" si="1"/>
        <v>0</v>
      </c>
    </row>
    <row r="52" spans="1:5" ht="12.75">
      <c r="A52" s="17" t="s">
        <v>92</v>
      </c>
      <c r="B52" s="26">
        <v>388800</v>
      </c>
      <c r="C52" s="26">
        <v>50000</v>
      </c>
      <c r="D52" s="27">
        <f t="shared" si="0"/>
        <v>12.860082304526749</v>
      </c>
      <c r="E52" s="51">
        <f t="shared" si="1"/>
        <v>-338800</v>
      </c>
    </row>
    <row r="53" spans="1:5" ht="12.75">
      <c r="A53" s="17" t="s">
        <v>91</v>
      </c>
      <c r="B53" s="26">
        <v>120000</v>
      </c>
      <c r="C53" s="28">
        <v>0</v>
      </c>
      <c r="D53" s="27">
        <f t="shared" si="0"/>
        <v>0</v>
      </c>
      <c r="E53" s="51">
        <f t="shared" si="1"/>
        <v>-120000</v>
      </c>
    </row>
    <row r="54" spans="1:5" ht="12.75">
      <c r="A54" s="17" t="s">
        <v>135</v>
      </c>
      <c r="B54" s="26">
        <v>158000</v>
      </c>
      <c r="C54" s="28">
        <v>25000</v>
      </c>
      <c r="D54" s="27">
        <f t="shared" si="0"/>
        <v>15.822784810126583</v>
      </c>
      <c r="E54" s="51">
        <f t="shared" si="1"/>
        <v>-133000</v>
      </c>
    </row>
    <row r="55" spans="1:5" ht="12.75">
      <c r="A55" s="17" t="s">
        <v>136</v>
      </c>
      <c r="B55" s="26">
        <v>110800</v>
      </c>
      <c r="C55" s="28">
        <v>25000</v>
      </c>
      <c r="D55" s="27">
        <f t="shared" si="0"/>
        <v>22.563176895306857</v>
      </c>
      <c r="E55" s="51">
        <f t="shared" si="1"/>
        <v>-85800</v>
      </c>
    </row>
    <row r="56" spans="1:5" ht="12.75">
      <c r="A56" s="49" t="s">
        <v>179</v>
      </c>
      <c r="B56" s="26">
        <v>0</v>
      </c>
      <c r="C56" s="26">
        <v>0</v>
      </c>
      <c r="D56" s="27" t="str">
        <f t="shared" si="0"/>
        <v>   </v>
      </c>
      <c r="E56" s="51">
        <f t="shared" si="1"/>
        <v>0</v>
      </c>
    </row>
    <row r="57" spans="1:5" ht="12.75">
      <c r="A57" s="49" t="s">
        <v>184</v>
      </c>
      <c r="B57" s="26">
        <v>0</v>
      </c>
      <c r="C57" s="28">
        <v>0</v>
      </c>
      <c r="D57" s="27" t="str">
        <f t="shared" si="0"/>
        <v>   </v>
      </c>
      <c r="E57" s="51">
        <f t="shared" si="1"/>
        <v>0</v>
      </c>
    </row>
    <row r="58" spans="1:5" ht="12.75">
      <c r="A58" s="49" t="s">
        <v>239</v>
      </c>
      <c r="B58" s="26">
        <v>0</v>
      </c>
      <c r="C58" s="28">
        <v>0</v>
      </c>
      <c r="D58" s="27" t="str">
        <f t="shared" si="0"/>
        <v>   </v>
      </c>
      <c r="E58" s="51">
        <f t="shared" si="1"/>
        <v>0</v>
      </c>
    </row>
    <row r="59" spans="1:5" ht="18.75" customHeight="1">
      <c r="A59" s="19" t="s">
        <v>25</v>
      </c>
      <c r="B59" s="32">
        <v>10000</v>
      </c>
      <c r="C59" s="32">
        <v>1070</v>
      </c>
      <c r="D59" s="27">
        <f t="shared" si="0"/>
        <v>10.7</v>
      </c>
      <c r="E59" s="51">
        <f t="shared" si="1"/>
        <v>-8930</v>
      </c>
    </row>
    <row r="60" spans="1:5" ht="17.25" customHeight="1">
      <c r="A60" s="17" t="s">
        <v>55</v>
      </c>
      <c r="B60" s="25">
        <f>B61</f>
        <v>753000</v>
      </c>
      <c r="C60" s="25">
        <f>C61</f>
        <v>287293.16</v>
      </c>
      <c r="D60" s="27">
        <f t="shared" si="0"/>
        <v>38.15314209827357</v>
      </c>
      <c r="E60" s="51">
        <f t="shared" si="1"/>
        <v>-465706.84</v>
      </c>
    </row>
    <row r="61" spans="1:5" ht="12.75">
      <c r="A61" s="17" t="s">
        <v>56</v>
      </c>
      <c r="B61" s="26">
        <v>753000</v>
      </c>
      <c r="C61" s="28">
        <v>287293.16</v>
      </c>
      <c r="D61" s="27">
        <f t="shared" si="0"/>
        <v>38.15314209827357</v>
      </c>
      <c r="E61" s="51">
        <f t="shared" si="1"/>
        <v>-465706.84</v>
      </c>
    </row>
    <row r="62" spans="1:5" ht="12.75">
      <c r="A62" s="123" t="s">
        <v>265</v>
      </c>
      <c r="B62" s="26">
        <v>421600</v>
      </c>
      <c r="C62" s="28">
        <v>145852.99</v>
      </c>
      <c r="D62" s="27">
        <f t="shared" si="0"/>
        <v>34.5951114800759</v>
      </c>
      <c r="E62" s="51">
        <f t="shared" si="1"/>
        <v>-275747.01</v>
      </c>
    </row>
    <row r="63" spans="1:5" ht="12.75">
      <c r="A63" s="17" t="s">
        <v>213</v>
      </c>
      <c r="B63" s="26">
        <v>7500</v>
      </c>
      <c r="C63" s="28">
        <v>0</v>
      </c>
      <c r="D63" s="27">
        <f t="shared" si="0"/>
        <v>0</v>
      </c>
      <c r="E63" s="51">
        <f t="shared" si="1"/>
        <v>-7500</v>
      </c>
    </row>
    <row r="64" spans="1:5" ht="12.75">
      <c r="A64" s="17" t="s">
        <v>271</v>
      </c>
      <c r="B64" s="26">
        <f>SUM(B65,)</f>
        <v>15000</v>
      </c>
      <c r="C64" s="26">
        <f>SUM(C65,)</f>
        <v>6000</v>
      </c>
      <c r="D64" s="27">
        <f t="shared" si="0"/>
        <v>40</v>
      </c>
      <c r="E64" s="51">
        <f t="shared" si="1"/>
        <v>-9000</v>
      </c>
    </row>
    <row r="65" spans="1:5" ht="12.75">
      <c r="A65" s="17" t="s">
        <v>57</v>
      </c>
      <c r="B65" s="26">
        <v>15000</v>
      </c>
      <c r="C65" s="29">
        <v>6000</v>
      </c>
      <c r="D65" s="27">
        <f t="shared" si="0"/>
        <v>40</v>
      </c>
      <c r="E65" s="51">
        <f t="shared" si="1"/>
        <v>-9000</v>
      </c>
    </row>
    <row r="66" spans="1:5" ht="18.75" customHeight="1">
      <c r="A66" s="17" t="s">
        <v>18</v>
      </c>
      <c r="B66" s="26">
        <f>B67</f>
        <v>758700</v>
      </c>
      <c r="C66" s="26">
        <f>C67</f>
        <v>0</v>
      </c>
      <c r="D66" s="27">
        <f t="shared" si="0"/>
        <v>0</v>
      </c>
      <c r="E66" s="51">
        <f t="shared" si="1"/>
        <v>-758700</v>
      </c>
    </row>
    <row r="67" spans="1:5" ht="18.75" customHeight="1">
      <c r="A67" s="17" t="s">
        <v>281</v>
      </c>
      <c r="B67" s="26">
        <f>SUM(B68,B73)</f>
        <v>758700</v>
      </c>
      <c r="C67" s="26">
        <f>SUM(C68,C73)</f>
        <v>0</v>
      </c>
      <c r="D67" s="27">
        <f t="shared" si="0"/>
        <v>0</v>
      </c>
      <c r="E67" s="51">
        <f t="shared" si="1"/>
        <v>-758700</v>
      </c>
    </row>
    <row r="68" spans="1:5" ht="18.75" customHeight="1">
      <c r="A68" s="126" t="s">
        <v>279</v>
      </c>
      <c r="B68" s="127">
        <f>SUM(B69)</f>
        <v>16200</v>
      </c>
      <c r="C68" s="127">
        <f>SUM(C69)</f>
        <v>0</v>
      </c>
      <c r="D68" s="27">
        <f t="shared" si="0"/>
        <v>0</v>
      </c>
      <c r="E68" s="51">
        <f t="shared" si="1"/>
        <v>-16200</v>
      </c>
    </row>
    <row r="69" spans="1:5" ht="27" customHeight="1">
      <c r="A69" s="17" t="s">
        <v>286</v>
      </c>
      <c r="B69" s="26">
        <f>SUM(B70:B72)</f>
        <v>16200</v>
      </c>
      <c r="C69" s="26">
        <f>SUM(C70:C72)</f>
        <v>0</v>
      </c>
      <c r="D69" s="27">
        <f t="shared" si="0"/>
        <v>0</v>
      </c>
      <c r="E69" s="51">
        <f t="shared" si="1"/>
        <v>-16200</v>
      </c>
    </row>
    <row r="70" spans="1:5" ht="15" customHeight="1">
      <c r="A70" s="49" t="s">
        <v>292</v>
      </c>
      <c r="B70" s="26">
        <v>0</v>
      </c>
      <c r="C70" s="26"/>
      <c r="D70" s="27" t="str">
        <f t="shared" si="0"/>
        <v>   </v>
      </c>
      <c r="E70" s="51">
        <f t="shared" si="1"/>
        <v>0</v>
      </c>
    </row>
    <row r="71" spans="1:5" ht="13.5" customHeight="1">
      <c r="A71" s="49" t="s">
        <v>293</v>
      </c>
      <c r="B71" s="26">
        <v>0</v>
      </c>
      <c r="C71" s="26"/>
      <c r="D71" s="27" t="str">
        <f>IF(B71=0,"   ",C71/B71*100)</f>
        <v>   </v>
      </c>
      <c r="E71" s="51">
        <f t="shared" si="1"/>
        <v>0</v>
      </c>
    </row>
    <row r="72" spans="1:5" ht="12.75" customHeight="1">
      <c r="A72" s="49" t="s">
        <v>294</v>
      </c>
      <c r="B72" s="26">
        <v>16200</v>
      </c>
      <c r="C72" s="26"/>
      <c r="D72" s="27">
        <f>IF(B72=0,"   ",C72/B72*100)</f>
        <v>0</v>
      </c>
      <c r="E72" s="51">
        <f t="shared" si="1"/>
        <v>-16200</v>
      </c>
    </row>
    <row r="73" spans="1:5" ht="42.75" customHeight="1">
      <c r="A73" s="126" t="s">
        <v>287</v>
      </c>
      <c r="B73" s="127">
        <v>742500</v>
      </c>
      <c r="C73" s="127">
        <v>0</v>
      </c>
      <c r="D73" s="27">
        <f>IF(B73=0,"   ",C73/B73*100)</f>
        <v>0</v>
      </c>
      <c r="E73" s="51">
        <f t="shared" si="1"/>
        <v>-742500</v>
      </c>
    </row>
    <row r="74" spans="1:5" ht="21" customHeight="1">
      <c r="A74" s="16" t="s">
        <v>19</v>
      </c>
      <c r="B74" s="25">
        <f>SUM(B38,B43,B45,B47,B50,B59,B60,B64,B66,)</f>
        <v>2730100</v>
      </c>
      <c r="C74" s="25">
        <f>SUM(C38,C43,C45,C47,C50,C59,C60,C64,C66,)</f>
        <v>608638.11</v>
      </c>
      <c r="D74" s="27">
        <f>IF(B74=0,"   ",C74/B74*100)</f>
        <v>22.293619647631953</v>
      </c>
      <c r="E74" s="51">
        <f t="shared" si="1"/>
        <v>-2121461.89</v>
      </c>
    </row>
    <row r="75" spans="1:5" ht="18.75" customHeight="1" thickBot="1">
      <c r="A75" s="100" t="s">
        <v>267</v>
      </c>
      <c r="B75" s="101">
        <f>B40+B62</f>
        <v>898500</v>
      </c>
      <c r="C75" s="101">
        <f>C40+C62</f>
        <v>316230.24</v>
      </c>
      <c r="D75" s="102">
        <f>IF(B75=0,"   ",C75/B75*100)</f>
        <v>35.195352253756255</v>
      </c>
      <c r="E75" s="103">
        <f t="shared" si="1"/>
        <v>-582269.76</v>
      </c>
    </row>
    <row r="76" spans="1:5" ht="34.5" customHeight="1">
      <c r="A76" s="67" t="s">
        <v>21</v>
      </c>
      <c r="B76" s="67"/>
      <c r="C76" s="142"/>
      <c r="D76" s="142"/>
      <c r="E76" s="142"/>
    </row>
    <row r="77" spans="1:5" ht="13.5" customHeight="1">
      <c r="A77" s="67" t="s">
        <v>65</v>
      </c>
      <c r="B77" s="67"/>
      <c r="C77" s="68" t="s">
        <v>66</v>
      </c>
      <c r="D77" s="69"/>
      <c r="E77" s="70"/>
    </row>
    <row r="78" spans="1:5" ht="12.75">
      <c r="A78" s="7"/>
      <c r="B78" s="7"/>
      <c r="C78" s="6"/>
      <c r="D78" s="7"/>
      <c r="E78" s="2"/>
    </row>
    <row r="79" spans="1:5" ht="12.75">
      <c r="A79" s="7"/>
      <c r="B79" s="7"/>
      <c r="C79" s="6"/>
      <c r="D79" s="7"/>
      <c r="E79" s="2"/>
    </row>
    <row r="80" spans="1:5" ht="12.75">
      <c r="A80" s="7"/>
      <c r="B80" s="7"/>
      <c r="C80" s="6"/>
      <c r="D80" s="7"/>
      <c r="E80" s="2"/>
    </row>
    <row r="81" spans="1:5" ht="12.75">
      <c r="A81" s="7"/>
      <c r="B81" s="7"/>
      <c r="C81" s="6"/>
      <c r="D81" s="7"/>
      <c r="E81" s="2"/>
    </row>
  </sheetData>
  <mergeCells count="2">
    <mergeCell ref="A1:E1"/>
    <mergeCell ref="C76:E76"/>
  </mergeCells>
  <printOptions/>
  <pageMargins left="0.7874015748031497" right="0.7874015748031497" top="0.5905511811023623" bottom="0.5118110236220472" header="0.5118110236220472" footer="0.511811023622047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97"/>
  <sheetViews>
    <sheetView workbookViewId="0" topLeftCell="A73">
      <selection activeCell="C89" sqref="C89"/>
    </sheetView>
  </sheetViews>
  <sheetFormatPr defaultColWidth="9.00390625" defaultRowHeight="12.75"/>
  <cols>
    <col min="1" max="1" width="77.375" style="0" customWidth="1"/>
    <col min="2" max="2" width="18.375" style="0" customWidth="1"/>
    <col min="3" max="3" width="20.25390625" style="0" customWidth="1"/>
    <col min="4" max="4" width="18.375" style="0" customWidth="1"/>
    <col min="5" max="5" width="20.125" style="0" customWidth="1"/>
  </cols>
  <sheetData>
    <row r="1" spans="1:5" ht="18">
      <c r="A1" s="141" t="s">
        <v>311</v>
      </c>
      <c r="B1" s="141"/>
      <c r="C1" s="141"/>
      <c r="D1" s="141"/>
      <c r="E1" s="141"/>
    </row>
    <row r="2" spans="1:5" ht="12.75">
      <c r="A2" s="4"/>
      <c r="B2" s="4"/>
      <c r="C2" s="3"/>
      <c r="D2" s="3"/>
      <c r="E2" s="3"/>
    </row>
    <row r="3" spans="1:5" ht="13.5" thickBot="1">
      <c r="A3" s="4"/>
      <c r="B3" s="4"/>
      <c r="C3" s="5"/>
      <c r="D3" s="4"/>
      <c r="E3" s="4" t="s">
        <v>0</v>
      </c>
    </row>
    <row r="4" spans="1:5" ht="62.25" customHeight="1">
      <c r="A4" s="36" t="s">
        <v>1</v>
      </c>
      <c r="B4" s="20" t="s">
        <v>245</v>
      </c>
      <c r="C4" s="33" t="s">
        <v>307</v>
      </c>
      <c r="D4" s="20" t="s">
        <v>255</v>
      </c>
      <c r="E4" s="104" t="s">
        <v>256</v>
      </c>
    </row>
    <row r="5" spans="1:5" ht="12.75">
      <c r="A5" s="13">
        <v>1</v>
      </c>
      <c r="B5" s="99">
        <v>2</v>
      </c>
      <c r="C5" s="10">
        <v>3</v>
      </c>
      <c r="D5" s="30">
        <v>4</v>
      </c>
      <c r="E5" s="14">
        <v>5</v>
      </c>
    </row>
    <row r="6" spans="1:5" ht="12.75">
      <c r="A6" s="23" t="s">
        <v>2</v>
      </c>
      <c r="B6" s="11"/>
      <c r="C6" s="12"/>
      <c r="D6" s="26"/>
      <c r="E6" s="15"/>
    </row>
    <row r="7" spans="1:5" ht="12.75">
      <c r="A7" s="18" t="s">
        <v>59</v>
      </c>
      <c r="B7" s="25">
        <f>SUM(B8)</f>
        <v>5265700</v>
      </c>
      <c r="C7" s="25">
        <f>SUM(C8)</f>
        <v>2050762.18</v>
      </c>
      <c r="D7" s="27">
        <f aca="true" t="shared" si="0" ref="D7:D70">IF(B7=0,"   ",C7/B7*100)</f>
        <v>38.9456706610707</v>
      </c>
      <c r="E7" s="51">
        <f aca="true" t="shared" si="1" ref="E7:E91">C7-B7</f>
        <v>-3214937.8200000003</v>
      </c>
    </row>
    <row r="8" spans="1:5" ht="12.75">
      <c r="A8" s="17" t="s">
        <v>58</v>
      </c>
      <c r="B8" s="26">
        <v>5265700</v>
      </c>
      <c r="C8" s="28">
        <v>2050762.18</v>
      </c>
      <c r="D8" s="27">
        <f t="shared" si="0"/>
        <v>38.9456706610707</v>
      </c>
      <c r="E8" s="51">
        <f t="shared" si="1"/>
        <v>-3214937.8200000003</v>
      </c>
    </row>
    <row r="9" spans="1:5" ht="12.75">
      <c r="A9" s="17" t="s">
        <v>7</v>
      </c>
      <c r="B9" s="26">
        <f>SUM(B10:B10)</f>
        <v>0</v>
      </c>
      <c r="C9" s="25">
        <f>SUM(C10)</f>
        <v>3020.16</v>
      </c>
      <c r="D9" s="27" t="str">
        <f t="shared" si="0"/>
        <v>   </v>
      </c>
      <c r="E9" s="51">
        <f t="shared" si="1"/>
        <v>3020.16</v>
      </c>
    </row>
    <row r="10" spans="1:5" ht="12.75">
      <c r="A10" s="17" t="s">
        <v>39</v>
      </c>
      <c r="B10" s="26">
        <v>0</v>
      </c>
      <c r="C10" s="28">
        <v>3020.16</v>
      </c>
      <c r="D10" s="27" t="str">
        <f t="shared" si="0"/>
        <v>   </v>
      </c>
      <c r="E10" s="51">
        <f t="shared" si="1"/>
        <v>3020.16</v>
      </c>
    </row>
    <row r="11" spans="1:5" ht="12.75">
      <c r="A11" s="17" t="s">
        <v>9</v>
      </c>
      <c r="B11" s="26">
        <f>SUM(B12:B13)</f>
        <v>2808600</v>
      </c>
      <c r="C11" s="26">
        <f>SUM(C12:C13)</f>
        <v>594450.6499999999</v>
      </c>
      <c r="D11" s="27">
        <f t="shared" si="0"/>
        <v>21.165372427543968</v>
      </c>
      <c r="E11" s="51">
        <f t="shared" si="1"/>
        <v>-2214149.35</v>
      </c>
    </row>
    <row r="12" spans="1:5" ht="12.75">
      <c r="A12" s="17" t="s">
        <v>40</v>
      </c>
      <c r="B12" s="26">
        <v>400000</v>
      </c>
      <c r="C12" s="28">
        <v>64237.94</v>
      </c>
      <c r="D12" s="27">
        <f t="shared" si="0"/>
        <v>16.059485000000002</v>
      </c>
      <c r="E12" s="51">
        <f t="shared" si="1"/>
        <v>-335762.06</v>
      </c>
    </row>
    <row r="13" spans="1:5" ht="12.75">
      <c r="A13" s="17" t="s">
        <v>10</v>
      </c>
      <c r="B13" s="26">
        <v>2408600</v>
      </c>
      <c r="C13" s="28">
        <v>530212.71</v>
      </c>
      <c r="D13" s="27">
        <f t="shared" si="0"/>
        <v>22.01331520385286</v>
      </c>
      <c r="E13" s="51">
        <f t="shared" si="1"/>
        <v>-1878387.29</v>
      </c>
    </row>
    <row r="14" spans="1:5" ht="25.5">
      <c r="A14" s="17" t="s">
        <v>152</v>
      </c>
      <c r="B14" s="26">
        <v>0</v>
      </c>
      <c r="C14" s="28">
        <v>22.98</v>
      </c>
      <c r="D14" s="27" t="str">
        <f t="shared" si="0"/>
        <v>   </v>
      </c>
      <c r="E14" s="51">
        <f t="shared" si="1"/>
        <v>22.98</v>
      </c>
    </row>
    <row r="15" spans="1:5" ht="27" customHeight="1">
      <c r="A15" s="17" t="s">
        <v>41</v>
      </c>
      <c r="B15" s="26">
        <f>SUM(B16:B17)</f>
        <v>1010000</v>
      </c>
      <c r="C15" s="26">
        <f>SUM(C16:C17)</f>
        <v>198620.75</v>
      </c>
      <c r="D15" s="27">
        <f t="shared" si="0"/>
        <v>19.665420792079207</v>
      </c>
      <c r="E15" s="51">
        <f t="shared" si="1"/>
        <v>-811379.25</v>
      </c>
    </row>
    <row r="16" spans="1:5" ht="12.75">
      <c r="A16" s="126" t="s">
        <v>42</v>
      </c>
      <c r="B16" s="26">
        <v>560000</v>
      </c>
      <c r="C16" s="28">
        <v>96308.37</v>
      </c>
      <c r="D16" s="27">
        <f t="shared" si="0"/>
        <v>17.197923214285712</v>
      </c>
      <c r="E16" s="51">
        <f t="shared" si="1"/>
        <v>-463691.63</v>
      </c>
    </row>
    <row r="17" spans="1:5" ht="24" customHeight="1">
      <c r="A17" s="17" t="s">
        <v>43</v>
      </c>
      <c r="B17" s="26">
        <v>450000</v>
      </c>
      <c r="C17" s="28">
        <v>102312.38</v>
      </c>
      <c r="D17" s="27">
        <f t="shared" si="0"/>
        <v>22.736084444444447</v>
      </c>
      <c r="E17" s="51">
        <f t="shared" si="1"/>
        <v>-347687.62</v>
      </c>
    </row>
    <row r="18" spans="1:5" ht="15.75" customHeight="1">
      <c r="A18" s="17" t="s">
        <v>109</v>
      </c>
      <c r="B18" s="26">
        <v>0</v>
      </c>
      <c r="C18" s="26">
        <f>SUM(C19)</f>
        <v>16425.95</v>
      </c>
      <c r="D18" s="27" t="str">
        <f t="shared" si="0"/>
        <v>   </v>
      </c>
      <c r="E18" s="51">
        <f t="shared" si="1"/>
        <v>16425.95</v>
      </c>
    </row>
    <row r="19" spans="1:5" ht="25.5" customHeight="1">
      <c r="A19" s="17" t="s">
        <v>110</v>
      </c>
      <c r="B19" s="26">
        <v>0</v>
      </c>
      <c r="C19" s="28">
        <v>16425.95</v>
      </c>
      <c r="D19" s="27" t="str">
        <f t="shared" si="0"/>
        <v>   </v>
      </c>
      <c r="E19" s="51">
        <f t="shared" si="1"/>
        <v>16425.95</v>
      </c>
    </row>
    <row r="20" spans="1:5" ht="30" customHeight="1">
      <c r="A20" s="17" t="s">
        <v>121</v>
      </c>
      <c r="B20" s="26">
        <f>B21</f>
        <v>0</v>
      </c>
      <c r="C20" s="26">
        <f>C21</f>
        <v>0</v>
      </c>
      <c r="D20" s="27" t="str">
        <f t="shared" si="0"/>
        <v>   </v>
      </c>
      <c r="E20" s="51">
        <f t="shared" si="1"/>
        <v>0</v>
      </c>
    </row>
    <row r="21" spans="1:5" ht="30" customHeight="1">
      <c r="A21" s="17" t="s">
        <v>122</v>
      </c>
      <c r="B21" s="26">
        <v>0</v>
      </c>
      <c r="C21" s="28">
        <v>0</v>
      </c>
      <c r="D21" s="27" t="str">
        <f t="shared" si="0"/>
        <v>   </v>
      </c>
      <c r="E21" s="51">
        <f t="shared" si="1"/>
        <v>0</v>
      </c>
    </row>
    <row r="22" spans="1:5" ht="12.75">
      <c r="A22" s="17" t="s">
        <v>45</v>
      </c>
      <c r="B22" s="26">
        <f>B23+B24</f>
        <v>0</v>
      </c>
      <c r="C22" s="26">
        <f>C23+C24</f>
        <v>-7114.74</v>
      </c>
      <c r="D22" s="27" t="str">
        <f t="shared" si="0"/>
        <v>   </v>
      </c>
      <c r="E22" s="51">
        <f t="shared" si="1"/>
        <v>-7114.74</v>
      </c>
    </row>
    <row r="23" spans="1:5" ht="13.5" customHeight="1">
      <c r="A23" s="17" t="s">
        <v>60</v>
      </c>
      <c r="B23" s="26">
        <v>0</v>
      </c>
      <c r="C23" s="26">
        <v>-7114.74</v>
      </c>
      <c r="D23" s="27" t="str">
        <f t="shared" si="0"/>
        <v>   </v>
      </c>
      <c r="E23" s="51">
        <f t="shared" si="1"/>
        <v>-7114.74</v>
      </c>
    </row>
    <row r="24" spans="1:5" ht="15.75" customHeight="1">
      <c r="A24" s="17" t="s">
        <v>218</v>
      </c>
      <c r="B24" s="26">
        <v>0</v>
      </c>
      <c r="C24" s="28">
        <v>0</v>
      </c>
      <c r="D24" s="27" t="str">
        <f t="shared" si="0"/>
        <v>   </v>
      </c>
      <c r="E24" s="51">
        <f t="shared" si="1"/>
        <v>0</v>
      </c>
    </row>
    <row r="25" spans="1:5" ht="13.5" customHeight="1">
      <c r="A25" s="17" t="s">
        <v>44</v>
      </c>
      <c r="B25" s="26">
        <v>0</v>
      </c>
      <c r="C25" s="26">
        <v>5957</v>
      </c>
      <c r="D25" s="27" t="str">
        <f t="shared" si="0"/>
        <v>   </v>
      </c>
      <c r="E25" s="51">
        <f t="shared" si="1"/>
        <v>5957</v>
      </c>
    </row>
    <row r="26" spans="1:5" ht="15" customHeight="1">
      <c r="A26" s="16" t="s">
        <v>11</v>
      </c>
      <c r="B26" s="52">
        <f>SUM(B7,B9,B11,B15,B18,B20,B22,)</f>
        <v>9084300</v>
      </c>
      <c r="C26" s="52">
        <f>SUM(C7,C9,C11,C14,C15,C18,C20,C22,C25,)</f>
        <v>2862144.9299999997</v>
      </c>
      <c r="D26" s="27">
        <f t="shared" si="0"/>
        <v>31.50649945510386</v>
      </c>
      <c r="E26" s="51">
        <f t="shared" si="1"/>
        <v>-6222155.07</v>
      </c>
    </row>
    <row r="27" spans="1:5" ht="15" customHeight="1">
      <c r="A27" s="18" t="s">
        <v>47</v>
      </c>
      <c r="B27" s="25">
        <v>5912500</v>
      </c>
      <c r="C27" s="25">
        <v>2363500</v>
      </c>
      <c r="D27" s="27">
        <f t="shared" si="0"/>
        <v>39.97463002114165</v>
      </c>
      <c r="E27" s="51">
        <f t="shared" si="1"/>
        <v>-3549000</v>
      </c>
    </row>
    <row r="28" spans="1:5" ht="26.25" customHeight="1">
      <c r="A28" s="17" t="s">
        <v>68</v>
      </c>
      <c r="B28" s="26">
        <v>0</v>
      </c>
      <c r="C28" s="28">
        <v>0</v>
      </c>
      <c r="D28" s="27" t="str">
        <f t="shared" si="0"/>
        <v>   </v>
      </c>
      <c r="E28" s="51">
        <f t="shared" si="1"/>
        <v>0</v>
      </c>
    </row>
    <row r="29" spans="1:5" ht="39" customHeight="1">
      <c r="A29" s="17" t="s">
        <v>72</v>
      </c>
      <c r="B29" s="26">
        <v>229500</v>
      </c>
      <c r="C29" s="28">
        <v>229500</v>
      </c>
      <c r="D29" s="27">
        <f t="shared" si="0"/>
        <v>100</v>
      </c>
      <c r="E29" s="51">
        <f t="shared" si="1"/>
        <v>0</v>
      </c>
    </row>
    <row r="30" spans="1:5" ht="53.25" customHeight="1">
      <c r="A30" s="17" t="s">
        <v>277</v>
      </c>
      <c r="B30" s="26">
        <v>1484900</v>
      </c>
      <c r="C30" s="26">
        <v>0</v>
      </c>
      <c r="D30" s="27">
        <f t="shared" si="0"/>
        <v>0</v>
      </c>
      <c r="E30" s="51">
        <f t="shared" si="1"/>
        <v>-1484900</v>
      </c>
    </row>
    <row r="31" spans="1:5" ht="25.5" customHeight="1">
      <c r="A31" s="17" t="s">
        <v>73</v>
      </c>
      <c r="B31" s="26">
        <v>800</v>
      </c>
      <c r="C31" s="26">
        <v>0</v>
      </c>
      <c r="D31" s="27">
        <f t="shared" si="0"/>
        <v>0</v>
      </c>
      <c r="E31" s="51">
        <f t="shared" si="1"/>
        <v>-800</v>
      </c>
    </row>
    <row r="32" spans="1:5" ht="27.75" customHeight="1">
      <c r="A32" s="17" t="s">
        <v>159</v>
      </c>
      <c r="B32" s="26">
        <f>SUM(B33,B35)</f>
        <v>1007500</v>
      </c>
      <c r="C32" s="26">
        <f>SUM(C33,C35)</f>
        <v>352600</v>
      </c>
      <c r="D32" s="27">
        <f t="shared" si="0"/>
        <v>34.997518610421835</v>
      </c>
      <c r="E32" s="51">
        <f t="shared" si="1"/>
        <v>-654900</v>
      </c>
    </row>
    <row r="33" spans="1:5" ht="42" customHeight="1">
      <c r="A33" s="17" t="s">
        <v>266</v>
      </c>
      <c r="B33" s="26">
        <v>1000000</v>
      </c>
      <c r="C33" s="28">
        <v>352600</v>
      </c>
      <c r="D33" s="27"/>
      <c r="E33" s="51"/>
    </row>
    <row r="34" spans="1:5" ht="30" customHeight="1">
      <c r="A34" s="17" t="s">
        <v>82</v>
      </c>
      <c r="B34" s="26">
        <v>2505700</v>
      </c>
      <c r="C34" s="28">
        <v>0</v>
      </c>
      <c r="D34" s="27">
        <f t="shared" si="0"/>
        <v>0</v>
      </c>
      <c r="E34" s="51">
        <f t="shared" si="1"/>
        <v>-2505700</v>
      </c>
    </row>
    <row r="35" spans="1:5" ht="39" customHeight="1">
      <c r="A35" s="17" t="s">
        <v>177</v>
      </c>
      <c r="B35" s="26">
        <v>7500</v>
      </c>
      <c r="C35" s="26">
        <v>0</v>
      </c>
      <c r="D35" s="27">
        <f t="shared" si="0"/>
        <v>0</v>
      </c>
      <c r="E35" s="51">
        <f t="shared" si="1"/>
        <v>-7500</v>
      </c>
    </row>
    <row r="36" spans="1:5" ht="18.75" customHeight="1">
      <c r="A36" s="17" t="s">
        <v>79</v>
      </c>
      <c r="B36" s="26">
        <v>0</v>
      </c>
      <c r="C36" s="28">
        <v>0</v>
      </c>
      <c r="D36" s="27" t="str">
        <f t="shared" si="0"/>
        <v>   </v>
      </c>
      <c r="E36" s="51">
        <f t="shared" si="1"/>
        <v>0</v>
      </c>
    </row>
    <row r="37" spans="1:5" ht="25.5" customHeight="1">
      <c r="A37" s="17" t="s">
        <v>48</v>
      </c>
      <c r="B37" s="26">
        <v>0</v>
      </c>
      <c r="C37" s="28">
        <v>0</v>
      </c>
      <c r="D37" s="27" t="str">
        <f t="shared" si="0"/>
        <v>   </v>
      </c>
      <c r="E37" s="51">
        <f t="shared" si="1"/>
        <v>0</v>
      </c>
    </row>
    <row r="38" spans="1:5" ht="24" customHeight="1">
      <c r="A38" s="16" t="s">
        <v>14</v>
      </c>
      <c r="B38" s="25">
        <f>SUM(B27:B32,B26,B34,B36:B37)</f>
        <v>20225200</v>
      </c>
      <c r="C38" s="25">
        <f>SUM(C27:C32,C26,C34,C36:C37)</f>
        <v>5807744.93</v>
      </c>
      <c r="D38" s="27">
        <f t="shared" si="0"/>
        <v>28.715389365741746</v>
      </c>
      <c r="E38" s="51">
        <f t="shared" si="1"/>
        <v>-14417455.07</v>
      </c>
    </row>
    <row r="39" spans="1:5" ht="16.5" customHeight="1">
      <c r="A39" s="31" t="s">
        <v>69</v>
      </c>
      <c r="B39" s="25"/>
      <c r="C39" s="26"/>
      <c r="D39" s="27" t="str">
        <f t="shared" si="0"/>
        <v>   </v>
      </c>
      <c r="E39" s="51"/>
    </row>
    <row r="40" spans="1:5" ht="12.75">
      <c r="A40" s="23" t="s">
        <v>15</v>
      </c>
      <c r="B40" s="53"/>
      <c r="C40" s="54"/>
      <c r="D40" s="27" t="str">
        <f t="shared" si="0"/>
        <v>   </v>
      </c>
      <c r="E40" s="51"/>
    </row>
    <row r="41" spans="1:5" ht="12.75">
      <c r="A41" s="17" t="s">
        <v>49</v>
      </c>
      <c r="B41" s="26">
        <v>2046070</v>
      </c>
      <c r="C41" s="26">
        <v>657434.77</v>
      </c>
      <c r="D41" s="27">
        <f t="shared" si="0"/>
        <v>32.13158738459583</v>
      </c>
      <c r="E41" s="51">
        <f t="shared" si="1"/>
        <v>-1388635.23</v>
      </c>
    </row>
    <row r="42" spans="1:5" ht="16.5" customHeight="1">
      <c r="A42" s="17" t="s">
        <v>50</v>
      </c>
      <c r="B42" s="26">
        <v>1881070</v>
      </c>
      <c r="C42" s="28">
        <v>633182.62</v>
      </c>
      <c r="D42" s="27">
        <f t="shared" si="0"/>
        <v>33.66076860510241</v>
      </c>
      <c r="E42" s="51">
        <f t="shared" si="1"/>
        <v>-1247887.38</v>
      </c>
    </row>
    <row r="43" spans="1:5" ht="12.75">
      <c r="A43" s="123" t="s">
        <v>264</v>
      </c>
      <c r="B43" s="26">
        <v>1211400</v>
      </c>
      <c r="C43" s="138">
        <v>419338.56</v>
      </c>
      <c r="D43" s="27">
        <f t="shared" si="0"/>
        <v>34.61602773650322</v>
      </c>
      <c r="E43" s="51">
        <f t="shared" si="1"/>
        <v>-792061.44</v>
      </c>
    </row>
    <row r="44" spans="1:5" ht="12.75">
      <c r="A44" s="17" t="s">
        <v>217</v>
      </c>
      <c r="B44" s="26">
        <v>800</v>
      </c>
      <c r="C44" s="29">
        <v>0</v>
      </c>
      <c r="D44" s="27">
        <f t="shared" si="0"/>
        <v>0</v>
      </c>
      <c r="E44" s="51">
        <f t="shared" si="1"/>
        <v>-800</v>
      </c>
    </row>
    <row r="45" spans="1:5" ht="12.75">
      <c r="A45" s="17" t="s">
        <v>169</v>
      </c>
      <c r="B45" s="26">
        <v>50000</v>
      </c>
      <c r="C45" s="29">
        <v>0</v>
      </c>
      <c r="D45" s="27">
        <f t="shared" si="0"/>
        <v>0</v>
      </c>
      <c r="E45" s="51">
        <f t="shared" si="1"/>
        <v>-50000</v>
      </c>
    </row>
    <row r="46" spans="1:5" ht="12.75">
      <c r="A46" s="17" t="s">
        <v>74</v>
      </c>
      <c r="B46" s="26">
        <f>SUM(B47,)</f>
        <v>115000</v>
      </c>
      <c r="C46" s="26">
        <v>24252.15</v>
      </c>
      <c r="D46" s="27">
        <f t="shared" si="0"/>
        <v>21.088826086956523</v>
      </c>
      <c r="E46" s="51">
        <f t="shared" si="1"/>
        <v>-90747.85</v>
      </c>
    </row>
    <row r="47" spans="1:5" ht="25.5">
      <c r="A47" s="17" t="s">
        <v>93</v>
      </c>
      <c r="B47" s="26">
        <v>115000</v>
      </c>
      <c r="C47" s="26">
        <v>24252.15</v>
      </c>
      <c r="D47" s="27">
        <f t="shared" si="0"/>
        <v>21.088826086956523</v>
      </c>
      <c r="E47" s="51">
        <f t="shared" si="1"/>
        <v>-90747.85</v>
      </c>
    </row>
    <row r="48" spans="1:5" ht="12.75">
      <c r="A48" s="17" t="s">
        <v>70</v>
      </c>
      <c r="B48" s="28">
        <f>SUM(B49)</f>
        <v>229500</v>
      </c>
      <c r="C48" s="28">
        <f>SUM(C49)</f>
        <v>64403.42</v>
      </c>
      <c r="D48" s="27">
        <f t="shared" si="0"/>
        <v>28.062492374727665</v>
      </c>
      <c r="E48" s="51">
        <f t="shared" si="1"/>
        <v>-165096.58000000002</v>
      </c>
    </row>
    <row r="49" spans="1:5" ht="27" customHeight="1">
      <c r="A49" s="17" t="s">
        <v>212</v>
      </c>
      <c r="B49" s="26">
        <v>229500</v>
      </c>
      <c r="C49" s="28">
        <v>64403.42</v>
      </c>
      <c r="D49" s="27">
        <f t="shared" si="0"/>
        <v>28.062492374727665</v>
      </c>
      <c r="E49" s="51">
        <f t="shared" si="1"/>
        <v>-165096.58000000002</v>
      </c>
    </row>
    <row r="50" spans="1:5" ht="18.75" customHeight="1">
      <c r="A50" s="17" t="s">
        <v>51</v>
      </c>
      <c r="B50" s="121">
        <v>240500</v>
      </c>
      <c r="C50" s="26">
        <v>48787.45</v>
      </c>
      <c r="D50" s="27">
        <f t="shared" si="0"/>
        <v>20.285841995841995</v>
      </c>
      <c r="E50" s="51">
        <f t="shared" si="1"/>
        <v>-191712.55</v>
      </c>
    </row>
    <row r="51" spans="1:5" ht="27" customHeight="1">
      <c r="A51" s="17" t="s">
        <v>149</v>
      </c>
      <c r="B51" s="121">
        <v>180500</v>
      </c>
      <c r="C51" s="28">
        <v>48787.45</v>
      </c>
      <c r="D51" s="27">
        <f t="shared" si="0"/>
        <v>27.029058171745152</v>
      </c>
      <c r="E51" s="51">
        <f t="shared" si="1"/>
        <v>-131712.55</v>
      </c>
    </row>
    <row r="52" spans="1:5" ht="16.5" customHeight="1">
      <c r="A52" s="17" t="s">
        <v>170</v>
      </c>
      <c r="B52" s="121">
        <v>172500</v>
      </c>
      <c r="C52" s="28">
        <v>48787.45</v>
      </c>
      <c r="D52" s="60">
        <f t="shared" si="0"/>
        <v>28.28257971014493</v>
      </c>
      <c r="E52" s="61">
        <f t="shared" si="1"/>
        <v>-123712.55</v>
      </c>
    </row>
    <row r="53" spans="1:5" ht="14.25" customHeight="1">
      <c r="A53" s="17" t="s">
        <v>264</v>
      </c>
      <c r="B53" s="121">
        <v>122000</v>
      </c>
      <c r="C53" s="28">
        <v>31754.91</v>
      </c>
      <c r="D53" s="27">
        <f t="shared" si="0"/>
        <v>26.02861475409836</v>
      </c>
      <c r="E53" s="51">
        <f t="shared" si="1"/>
        <v>-90245.09</v>
      </c>
    </row>
    <row r="54" spans="1:5" ht="17.25" customHeight="1">
      <c r="A54" s="17" t="s">
        <v>301</v>
      </c>
      <c r="B54" s="121">
        <v>60000</v>
      </c>
      <c r="C54" s="62">
        <v>0</v>
      </c>
      <c r="D54" s="60">
        <f t="shared" si="0"/>
        <v>0</v>
      </c>
      <c r="E54" s="61">
        <f t="shared" si="1"/>
        <v>-60000</v>
      </c>
    </row>
    <row r="55" spans="1:5" ht="12.75">
      <c r="A55" s="17" t="s">
        <v>52</v>
      </c>
      <c r="B55" s="26">
        <v>0</v>
      </c>
      <c r="C55" s="26">
        <v>0</v>
      </c>
      <c r="D55" s="27" t="str">
        <f t="shared" si="0"/>
        <v>   </v>
      </c>
      <c r="E55" s="51">
        <f t="shared" si="1"/>
        <v>0</v>
      </c>
    </row>
    <row r="56" spans="1:5" ht="14.25" customHeight="1">
      <c r="A56" s="17" t="s">
        <v>62</v>
      </c>
      <c r="B56" s="26">
        <v>0</v>
      </c>
      <c r="C56" s="26">
        <v>0</v>
      </c>
      <c r="D56" s="27" t="str">
        <f t="shared" si="0"/>
        <v>   </v>
      </c>
      <c r="E56" s="51">
        <f t="shared" si="1"/>
        <v>0</v>
      </c>
    </row>
    <row r="57" spans="1:5" ht="12.75">
      <c r="A57" s="17" t="s">
        <v>63</v>
      </c>
      <c r="B57" s="26">
        <v>0</v>
      </c>
      <c r="C57" s="26">
        <v>0</v>
      </c>
      <c r="D57" s="27" t="str">
        <f t="shared" si="0"/>
        <v>   </v>
      </c>
      <c r="E57" s="51">
        <f t="shared" si="1"/>
        <v>0</v>
      </c>
    </row>
    <row r="58" spans="1:5" ht="14.25" customHeight="1">
      <c r="A58" s="17" t="s">
        <v>16</v>
      </c>
      <c r="B58" s="26">
        <f>SUM(B59,B63,B68)</f>
        <v>8408537.21</v>
      </c>
      <c r="C58" s="26">
        <f>SUM(C59,C63,C68)</f>
        <v>2768254.34</v>
      </c>
      <c r="D58" s="27">
        <f t="shared" si="0"/>
        <v>32.92194909606637</v>
      </c>
      <c r="E58" s="51">
        <f t="shared" si="1"/>
        <v>-5640282.870000001</v>
      </c>
    </row>
    <row r="59" spans="1:5" ht="12.75">
      <c r="A59" s="126" t="s">
        <v>17</v>
      </c>
      <c r="B59" s="127">
        <f>SUM(B60:B62)</f>
        <v>785830</v>
      </c>
      <c r="C59" s="127">
        <v>352630</v>
      </c>
      <c r="D59" s="27">
        <f t="shared" si="0"/>
        <v>44.87357316467938</v>
      </c>
      <c r="E59" s="51">
        <f t="shared" si="1"/>
        <v>-433200</v>
      </c>
    </row>
    <row r="60" spans="1:5" ht="12.75">
      <c r="A60" s="17" t="s">
        <v>175</v>
      </c>
      <c r="B60" s="26">
        <v>433200</v>
      </c>
      <c r="C60" s="28">
        <v>0</v>
      </c>
      <c r="D60" s="27">
        <f t="shared" si="0"/>
        <v>0</v>
      </c>
      <c r="E60" s="51">
        <f t="shared" si="1"/>
        <v>-433200</v>
      </c>
    </row>
    <row r="61" spans="1:5" ht="25.5">
      <c r="A61" s="17" t="s">
        <v>302</v>
      </c>
      <c r="B61" s="26">
        <v>352630</v>
      </c>
      <c r="C61" s="28">
        <v>352630</v>
      </c>
      <c r="D61" s="27">
        <f t="shared" si="0"/>
        <v>100</v>
      </c>
      <c r="E61" s="51">
        <f t="shared" si="1"/>
        <v>0</v>
      </c>
    </row>
    <row r="62" spans="1:5" ht="12.75">
      <c r="A62" s="17" t="s">
        <v>162</v>
      </c>
      <c r="B62" s="26">
        <v>0</v>
      </c>
      <c r="C62" s="28">
        <v>0</v>
      </c>
      <c r="D62" s="27" t="str">
        <f t="shared" si="0"/>
        <v>   </v>
      </c>
      <c r="E62" s="51">
        <f t="shared" si="1"/>
        <v>0</v>
      </c>
    </row>
    <row r="63" spans="1:5" ht="12.75">
      <c r="A63" s="126" t="s">
        <v>94</v>
      </c>
      <c r="B63" s="127">
        <f>SUM(B64,B66,B67,)</f>
        <v>2248707.21</v>
      </c>
      <c r="C63" s="127">
        <f>SUM(C64,C66,C67,)</f>
        <v>181844.04</v>
      </c>
      <c r="D63" s="27">
        <f t="shared" si="0"/>
        <v>8.086603680165192</v>
      </c>
      <c r="E63" s="51">
        <f t="shared" si="1"/>
        <v>-2066863.17</v>
      </c>
    </row>
    <row r="64" spans="1:5" ht="12.75">
      <c r="A64" s="123" t="s">
        <v>289</v>
      </c>
      <c r="B64" s="121">
        <v>748707.21</v>
      </c>
      <c r="C64" s="121">
        <v>181844.04</v>
      </c>
      <c r="D64" s="27">
        <f t="shared" si="0"/>
        <v>24.287737258467168</v>
      </c>
      <c r="E64" s="51">
        <f t="shared" si="1"/>
        <v>-566863.1699999999</v>
      </c>
    </row>
    <row r="65" spans="1:5" ht="12.75">
      <c r="A65" s="123" t="s">
        <v>95</v>
      </c>
      <c r="B65" s="26">
        <v>31707.21</v>
      </c>
      <c r="C65" s="26">
        <v>31707.21</v>
      </c>
      <c r="D65" s="27">
        <f t="shared" si="0"/>
        <v>100</v>
      </c>
      <c r="E65" s="51">
        <f t="shared" si="1"/>
        <v>0</v>
      </c>
    </row>
    <row r="66" spans="1:5" ht="42" customHeight="1">
      <c r="A66" s="18" t="s">
        <v>268</v>
      </c>
      <c r="B66" s="26">
        <v>500000</v>
      </c>
      <c r="C66" s="26">
        <v>0</v>
      </c>
      <c r="D66" s="27">
        <f t="shared" si="0"/>
        <v>0</v>
      </c>
      <c r="E66" s="51">
        <f t="shared" si="1"/>
        <v>-500000</v>
      </c>
    </row>
    <row r="67" spans="1:5" ht="43.5" customHeight="1">
      <c r="A67" s="18" t="s">
        <v>268</v>
      </c>
      <c r="B67" s="26">
        <v>1000000</v>
      </c>
      <c r="C67" s="26">
        <v>0</v>
      </c>
      <c r="D67" s="27">
        <f t="shared" si="0"/>
        <v>0</v>
      </c>
      <c r="E67" s="51">
        <f t="shared" si="1"/>
        <v>-1000000</v>
      </c>
    </row>
    <row r="68" spans="1:5" ht="12.75">
      <c r="A68" s="126" t="s">
        <v>92</v>
      </c>
      <c r="B68" s="127">
        <v>5374000</v>
      </c>
      <c r="C68" s="127">
        <v>2233780.3</v>
      </c>
      <c r="D68" s="27">
        <f t="shared" si="0"/>
        <v>41.566436546334195</v>
      </c>
      <c r="E68" s="51">
        <f t="shared" si="1"/>
        <v>-3140219.7</v>
      </c>
    </row>
    <row r="69" spans="1:5" ht="12.75">
      <c r="A69" s="17" t="s">
        <v>96</v>
      </c>
      <c r="B69" s="26">
        <v>2300000</v>
      </c>
      <c r="C69" s="28">
        <v>803367.64</v>
      </c>
      <c r="D69" s="27">
        <f t="shared" si="0"/>
        <v>34.92902782608696</v>
      </c>
      <c r="E69" s="51">
        <f t="shared" si="1"/>
        <v>-1496632.3599999999</v>
      </c>
    </row>
    <row r="70" spans="1:5" ht="25.5">
      <c r="A70" s="17" t="s">
        <v>305</v>
      </c>
      <c r="B70" s="26">
        <v>1100000</v>
      </c>
      <c r="C70" s="34">
        <v>822386.16</v>
      </c>
      <c r="D70" s="27">
        <f t="shared" si="0"/>
        <v>74.76237818181819</v>
      </c>
      <c r="E70" s="51">
        <f t="shared" si="1"/>
        <v>-277613.83999999997</v>
      </c>
    </row>
    <row r="71" spans="1:5" ht="12.75">
      <c r="A71" s="17" t="s">
        <v>97</v>
      </c>
      <c r="B71" s="26">
        <v>300000</v>
      </c>
      <c r="C71" s="28">
        <v>9000</v>
      </c>
      <c r="D71" s="27">
        <f aca="true" t="shared" si="2" ref="D71:D91">IF(B71=0,"   ",C71/B71*100)</f>
        <v>3</v>
      </c>
      <c r="E71" s="51">
        <f t="shared" si="1"/>
        <v>-291000</v>
      </c>
    </row>
    <row r="72" spans="1:5" ht="12.75">
      <c r="A72" s="17" t="s">
        <v>98</v>
      </c>
      <c r="B72" s="26">
        <v>100000</v>
      </c>
      <c r="C72" s="28">
        <v>21231</v>
      </c>
      <c r="D72" s="27">
        <f t="shared" si="2"/>
        <v>21.231</v>
      </c>
      <c r="E72" s="51">
        <f t="shared" si="1"/>
        <v>-78769</v>
      </c>
    </row>
    <row r="73" spans="1:5" ht="12.75">
      <c r="A73" s="17" t="s">
        <v>99</v>
      </c>
      <c r="B73" s="26">
        <v>1534000</v>
      </c>
      <c r="C73" s="28">
        <v>576334.12</v>
      </c>
      <c r="D73" s="27">
        <f t="shared" si="2"/>
        <v>37.570672750977835</v>
      </c>
      <c r="E73" s="51">
        <f t="shared" si="1"/>
        <v>-957665.88</v>
      </c>
    </row>
    <row r="74" spans="1:5" ht="14.25" customHeight="1">
      <c r="A74" s="49" t="s">
        <v>164</v>
      </c>
      <c r="B74" s="26">
        <v>40000</v>
      </c>
      <c r="C74" s="28">
        <v>1461.38</v>
      </c>
      <c r="D74" s="27">
        <f t="shared" si="2"/>
        <v>3.6534500000000003</v>
      </c>
      <c r="E74" s="51">
        <f t="shared" si="1"/>
        <v>-38538.62</v>
      </c>
    </row>
    <row r="75" spans="1:5" ht="15.75" customHeight="1">
      <c r="A75" s="19" t="s">
        <v>25</v>
      </c>
      <c r="B75" s="32">
        <v>20000</v>
      </c>
      <c r="C75" s="32">
        <v>0</v>
      </c>
      <c r="D75" s="27">
        <f t="shared" si="2"/>
        <v>0</v>
      </c>
      <c r="E75" s="51">
        <f t="shared" si="1"/>
        <v>-20000</v>
      </c>
    </row>
    <row r="76" spans="1:5" ht="12.75">
      <c r="A76" s="17" t="s">
        <v>55</v>
      </c>
      <c r="B76" s="25">
        <f>B77</f>
        <v>6336600</v>
      </c>
      <c r="C76" s="25">
        <f>C77</f>
        <v>2066570.12</v>
      </c>
      <c r="D76" s="27">
        <f t="shared" si="2"/>
        <v>32.61323296405012</v>
      </c>
      <c r="E76" s="51">
        <f t="shared" si="1"/>
        <v>-4270029.88</v>
      </c>
    </row>
    <row r="77" spans="1:5" ht="12.75">
      <c r="A77" s="17" t="s">
        <v>56</v>
      </c>
      <c r="B77" s="26">
        <v>6336600</v>
      </c>
      <c r="C77" s="34">
        <v>2066570.12</v>
      </c>
      <c r="D77" s="27">
        <f t="shared" si="2"/>
        <v>32.61323296405012</v>
      </c>
      <c r="E77" s="51">
        <f t="shared" si="1"/>
        <v>-4270029.88</v>
      </c>
    </row>
    <row r="78" spans="1:5" ht="15.75" customHeight="1">
      <c r="A78" s="123" t="s">
        <v>264</v>
      </c>
      <c r="B78" s="26">
        <v>2967600</v>
      </c>
      <c r="C78" s="28">
        <v>1003523.42</v>
      </c>
      <c r="D78" s="27">
        <f t="shared" si="2"/>
        <v>33.8159933953363</v>
      </c>
      <c r="E78" s="51">
        <f t="shared" si="1"/>
        <v>-1964076.58</v>
      </c>
    </row>
    <row r="79" spans="1:5" ht="14.25" customHeight="1">
      <c r="A79" s="17" t="s">
        <v>213</v>
      </c>
      <c r="B79" s="26">
        <v>7500</v>
      </c>
      <c r="C79" s="28">
        <v>0</v>
      </c>
      <c r="D79" s="27">
        <f t="shared" si="2"/>
        <v>0</v>
      </c>
      <c r="E79" s="51">
        <f t="shared" si="1"/>
        <v>-7500</v>
      </c>
    </row>
    <row r="80" spans="1:5" ht="12.75">
      <c r="A80" s="17" t="s">
        <v>271</v>
      </c>
      <c r="B80" s="26">
        <f>SUM(B81,)</f>
        <v>150000</v>
      </c>
      <c r="C80" s="26">
        <f>SUM(C81,)</f>
        <v>49659.62</v>
      </c>
      <c r="D80" s="27">
        <f t="shared" si="2"/>
        <v>33.106413333333336</v>
      </c>
      <c r="E80" s="51">
        <f t="shared" si="1"/>
        <v>-100340.38</v>
      </c>
    </row>
    <row r="81" spans="1:5" ht="14.25" customHeight="1">
      <c r="A81" s="17" t="s">
        <v>57</v>
      </c>
      <c r="B81" s="26">
        <v>150000</v>
      </c>
      <c r="C81" s="29">
        <v>49659.62</v>
      </c>
      <c r="D81" s="27">
        <f t="shared" si="2"/>
        <v>33.106413333333336</v>
      </c>
      <c r="E81" s="51">
        <f t="shared" si="1"/>
        <v>-100340.38</v>
      </c>
    </row>
    <row r="82" spans="1:5" ht="15.75" customHeight="1">
      <c r="A82" s="17" t="s">
        <v>18</v>
      </c>
      <c r="B82" s="26">
        <f>B83</f>
        <v>4243892.79</v>
      </c>
      <c r="C82" s="26">
        <f>C83</f>
        <v>5150</v>
      </c>
      <c r="D82" s="27">
        <f t="shared" si="2"/>
        <v>0.12135085061844836</v>
      </c>
      <c r="E82" s="51">
        <f t="shared" si="1"/>
        <v>-4238742.79</v>
      </c>
    </row>
    <row r="83" spans="1:5" ht="15.75" customHeight="1">
      <c r="A83" s="17" t="s">
        <v>281</v>
      </c>
      <c r="B83" s="26">
        <f>SUM(B84,B85,B86)</f>
        <v>4243892.79</v>
      </c>
      <c r="C83" s="26">
        <f>SUM(C84,C85,C86)</f>
        <v>5150</v>
      </c>
      <c r="D83" s="27"/>
      <c r="E83" s="51"/>
    </row>
    <row r="84" spans="1:5" ht="12.75">
      <c r="A84" s="17" t="s">
        <v>303</v>
      </c>
      <c r="B84" s="26">
        <v>168292.79</v>
      </c>
      <c r="C84" s="28">
        <v>5150</v>
      </c>
      <c r="D84" s="27">
        <f t="shared" si="2"/>
        <v>3.060142980575698</v>
      </c>
      <c r="E84" s="51">
        <f t="shared" si="1"/>
        <v>-163142.79</v>
      </c>
    </row>
    <row r="85" spans="1:5" ht="38.25" customHeight="1">
      <c r="A85" s="126" t="s">
        <v>219</v>
      </c>
      <c r="B85" s="127">
        <v>1484900</v>
      </c>
      <c r="C85" s="128">
        <v>0</v>
      </c>
      <c r="D85" s="27">
        <f t="shared" si="2"/>
        <v>0</v>
      </c>
      <c r="E85" s="51">
        <f t="shared" si="1"/>
        <v>-1484900</v>
      </c>
    </row>
    <row r="86" spans="1:5" ht="25.5" customHeight="1">
      <c r="A86" s="126" t="s">
        <v>288</v>
      </c>
      <c r="B86" s="127">
        <f>SUM(B87:B89)</f>
        <v>2590700</v>
      </c>
      <c r="C86" s="127">
        <f>SUM(C87:C89)</f>
        <v>0</v>
      </c>
      <c r="D86" s="27">
        <f t="shared" si="2"/>
        <v>0</v>
      </c>
      <c r="E86" s="51">
        <f t="shared" si="1"/>
        <v>-2590700</v>
      </c>
    </row>
    <row r="87" spans="1:5" ht="13.5" customHeight="1">
      <c r="A87" s="49" t="s">
        <v>292</v>
      </c>
      <c r="B87" s="127">
        <v>0</v>
      </c>
      <c r="C87" s="128">
        <v>0</v>
      </c>
      <c r="D87" s="27"/>
      <c r="E87" s="51"/>
    </row>
    <row r="88" spans="1:5" ht="11.25" customHeight="1">
      <c r="A88" s="49" t="s">
        <v>293</v>
      </c>
      <c r="B88" s="127">
        <v>2505700</v>
      </c>
      <c r="C88" s="128">
        <v>0</v>
      </c>
      <c r="D88" s="27"/>
      <c r="E88" s="51"/>
    </row>
    <row r="89" spans="1:5" ht="14.25" customHeight="1">
      <c r="A89" s="49" t="s">
        <v>294</v>
      </c>
      <c r="B89" s="134">
        <v>85000</v>
      </c>
      <c r="C89" s="128">
        <v>0</v>
      </c>
      <c r="D89" s="27"/>
      <c r="E89" s="51"/>
    </row>
    <row r="90" spans="1:5" ht="17.25" customHeight="1">
      <c r="A90" s="16" t="s">
        <v>19</v>
      </c>
      <c r="B90" s="25">
        <f>SUM(B41,B48,B50,B55,B58,B75,B76,B80,B82,)</f>
        <v>21675100</v>
      </c>
      <c r="C90" s="25">
        <f>SUM(C41,C48,C50,C55,C58,C75,C76,C80,C82,)</f>
        <v>5660259.72</v>
      </c>
      <c r="D90" s="27">
        <f t="shared" si="2"/>
        <v>26.114111215173168</v>
      </c>
      <c r="E90" s="51">
        <f t="shared" si="1"/>
        <v>-16014840.280000001</v>
      </c>
    </row>
    <row r="91" spans="1:5" ht="13.5" thickBot="1">
      <c r="A91" s="100" t="s">
        <v>267</v>
      </c>
      <c r="B91" s="101">
        <f>B43+B53+B78</f>
        <v>4301000</v>
      </c>
      <c r="C91" s="101">
        <f>C43+C53+C78</f>
        <v>1454616.8900000001</v>
      </c>
      <c r="D91" s="102">
        <f t="shared" si="2"/>
        <v>33.82043455010463</v>
      </c>
      <c r="E91" s="103">
        <f t="shared" si="1"/>
        <v>-2846383.11</v>
      </c>
    </row>
    <row r="92" spans="1:5" ht="45.75" customHeight="1">
      <c r="A92" s="67" t="s">
        <v>21</v>
      </c>
      <c r="B92" s="67"/>
      <c r="C92" s="142"/>
      <c r="D92" s="142"/>
      <c r="E92" s="142"/>
    </row>
    <row r="93" spans="1:5" ht="14.25">
      <c r="A93" s="67" t="s">
        <v>65</v>
      </c>
      <c r="B93" s="67"/>
      <c r="C93" s="68" t="s">
        <v>66</v>
      </c>
      <c r="D93" s="69"/>
      <c r="E93" s="70"/>
    </row>
    <row r="94" spans="1:5" ht="12.75">
      <c r="A94" s="7"/>
      <c r="B94" s="7"/>
      <c r="C94" s="6"/>
      <c r="D94" s="7"/>
      <c r="E94" s="2"/>
    </row>
    <row r="95" spans="1:5" ht="12.75">
      <c r="A95" s="7"/>
      <c r="B95" s="7"/>
      <c r="C95" s="6"/>
      <c r="D95" s="7"/>
      <c r="E95" s="2"/>
    </row>
    <row r="96" spans="1:5" ht="12.75">
      <c r="A96" s="7"/>
      <c r="B96" s="7"/>
      <c r="C96" s="6"/>
      <c r="D96" s="7"/>
      <c r="E96" s="2"/>
    </row>
    <row r="97" spans="1:5" ht="12.75">
      <c r="A97" s="7"/>
      <c r="B97" s="7"/>
      <c r="C97" s="6"/>
      <c r="D97" s="7"/>
      <c r="E97" s="2"/>
    </row>
  </sheetData>
  <mergeCells count="2">
    <mergeCell ref="A1:E1"/>
    <mergeCell ref="C92:E92"/>
  </mergeCells>
  <printOptions/>
  <pageMargins left="0.7874015748031497" right="0.7874015748031497" top="0.5905511811023623" bottom="0.5118110236220472" header="0.5118110236220472" footer="0.5118110236220472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6"/>
  <sheetViews>
    <sheetView zoomScale="75" zoomScaleNormal="75" workbookViewId="0" topLeftCell="A43">
      <selection activeCell="A75" sqref="A75:IV75"/>
    </sheetView>
  </sheetViews>
  <sheetFormatPr defaultColWidth="9.00390625" defaultRowHeight="12.75"/>
  <cols>
    <col min="1" max="1" width="97.625" style="0" customWidth="1"/>
    <col min="2" max="2" width="18.75390625" style="0" customWidth="1"/>
    <col min="3" max="3" width="19.375" style="0" customWidth="1"/>
    <col min="4" max="4" width="19.75390625" style="0" customWidth="1"/>
    <col min="5" max="5" width="19.25390625" style="0" customWidth="1"/>
  </cols>
  <sheetData>
    <row r="1" spans="1:5" ht="18">
      <c r="A1" s="141" t="s">
        <v>310</v>
      </c>
      <c r="B1" s="141"/>
      <c r="C1" s="141"/>
      <c r="D1" s="141"/>
      <c r="E1" s="141"/>
    </row>
    <row r="2" spans="1:5" ht="12.75">
      <c r="A2" s="4"/>
      <c r="B2" s="4"/>
      <c r="C2" s="3"/>
      <c r="D2" s="3"/>
      <c r="E2" s="3"/>
    </row>
    <row r="3" spans="1:5" ht="13.5" thickBot="1">
      <c r="A3" s="4"/>
      <c r="B3" s="4"/>
      <c r="C3" s="5"/>
      <c r="D3" s="4"/>
      <c r="E3" s="4" t="s">
        <v>0</v>
      </c>
    </row>
    <row r="4" spans="1:5" ht="56.25" customHeight="1">
      <c r="A4" s="36" t="s">
        <v>1</v>
      </c>
      <c r="B4" s="20" t="s">
        <v>245</v>
      </c>
      <c r="C4" s="33" t="s">
        <v>307</v>
      </c>
      <c r="D4" s="20" t="s">
        <v>255</v>
      </c>
      <c r="E4" s="104" t="s">
        <v>257</v>
      </c>
    </row>
    <row r="5" spans="1:5" ht="12.75">
      <c r="A5" s="13">
        <v>1</v>
      </c>
      <c r="B5" s="99">
        <v>2</v>
      </c>
      <c r="C5" s="10">
        <v>3</v>
      </c>
      <c r="D5" s="30">
        <v>4</v>
      </c>
      <c r="E5" s="14">
        <v>5</v>
      </c>
    </row>
    <row r="6" spans="1:5" ht="12.75">
      <c r="A6" s="23" t="s">
        <v>2</v>
      </c>
      <c r="B6" s="11"/>
      <c r="C6" s="12"/>
      <c r="D6" s="26"/>
      <c r="E6" s="15"/>
    </row>
    <row r="7" spans="1:5" ht="12.75">
      <c r="A7" s="18" t="s">
        <v>59</v>
      </c>
      <c r="B7" s="25">
        <f>SUM(B8)</f>
        <v>118200</v>
      </c>
      <c r="C7" s="25">
        <f>SUM(C8)</f>
        <v>14582.93</v>
      </c>
      <c r="D7" s="27">
        <f aca="true" t="shared" si="0" ref="D7:D70">IF(B7=0,"   ",C7/B7*100)</f>
        <v>12.337504230118443</v>
      </c>
      <c r="E7" s="51">
        <f aca="true" t="shared" si="1" ref="E7:E90">C7-B7</f>
        <v>-103617.07</v>
      </c>
    </row>
    <row r="8" spans="1:5" ht="12.75">
      <c r="A8" s="17" t="s">
        <v>58</v>
      </c>
      <c r="B8" s="26">
        <v>118200</v>
      </c>
      <c r="C8" s="28">
        <v>14582.93</v>
      </c>
      <c r="D8" s="27">
        <f t="shared" si="0"/>
        <v>12.337504230118443</v>
      </c>
      <c r="E8" s="51">
        <f t="shared" si="1"/>
        <v>-103617.07</v>
      </c>
    </row>
    <row r="9" spans="1:5" ht="12.75">
      <c r="A9" s="17" t="s">
        <v>7</v>
      </c>
      <c r="B9" s="26">
        <f>SUM(B10:B10)</f>
        <v>6000</v>
      </c>
      <c r="C9" s="26">
        <f>SUM(C10:C10)</f>
        <v>1634.25</v>
      </c>
      <c r="D9" s="27">
        <f t="shared" si="0"/>
        <v>27.237499999999997</v>
      </c>
      <c r="E9" s="51">
        <f t="shared" si="1"/>
        <v>-4365.75</v>
      </c>
    </row>
    <row r="10" spans="1:5" ht="12.75">
      <c r="A10" s="17" t="s">
        <v>39</v>
      </c>
      <c r="B10" s="26">
        <v>6000</v>
      </c>
      <c r="C10" s="28">
        <v>1634.25</v>
      </c>
      <c r="D10" s="27">
        <f t="shared" si="0"/>
        <v>27.237499999999997</v>
      </c>
      <c r="E10" s="51">
        <f t="shared" si="1"/>
        <v>-4365.75</v>
      </c>
    </row>
    <row r="11" spans="1:5" ht="12.75">
      <c r="A11" s="17" t="s">
        <v>9</v>
      </c>
      <c r="B11" s="26">
        <f>SUM(B12:B13)</f>
        <v>169400</v>
      </c>
      <c r="C11" s="26">
        <f>SUM(C12:C13)</f>
        <v>22982.17</v>
      </c>
      <c r="D11" s="27">
        <f t="shared" si="0"/>
        <v>13.566806375442738</v>
      </c>
      <c r="E11" s="51">
        <f t="shared" si="1"/>
        <v>-146417.83000000002</v>
      </c>
    </row>
    <row r="12" spans="1:5" ht="12.75">
      <c r="A12" s="17" t="s">
        <v>40</v>
      </c>
      <c r="B12" s="26">
        <v>70100</v>
      </c>
      <c r="C12" s="28">
        <v>10244.38</v>
      </c>
      <c r="D12" s="27">
        <f t="shared" si="0"/>
        <v>14.613951497860198</v>
      </c>
      <c r="E12" s="51">
        <f t="shared" si="1"/>
        <v>-59855.62</v>
      </c>
    </row>
    <row r="13" spans="1:5" ht="12.75">
      <c r="A13" s="17" t="s">
        <v>10</v>
      </c>
      <c r="B13" s="26">
        <v>99300</v>
      </c>
      <c r="C13" s="28">
        <v>12737.79</v>
      </c>
      <c r="D13" s="27">
        <f t="shared" si="0"/>
        <v>12.827583081570998</v>
      </c>
      <c r="E13" s="51">
        <f t="shared" si="1"/>
        <v>-86562.20999999999</v>
      </c>
    </row>
    <row r="14" spans="1:5" ht="25.5">
      <c r="A14" s="17" t="s">
        <v>152</v>
      </c>
      <c r="B14" s="26">
        <v>0</v>
      </c>
      <c r="C14" s="28">
        <v>0</v>
      </c>
      <c r="D14" s="27" t="str">
        <f t="shared" si="0"/>
        <v>   </v>
      </c>
      <c r="E14" s="51">
        <f t="shared" si="1"/>
        <v>0</v>
      </c>
    </row>
    <row r="15" spans="1:5" ht="29.25" customHeight="1">
      <c r="A15" s="17" t="s">
        <v>41</v>
      </c>
      <c r="B15" s="26">
        <f>SUM(B16:B17)</f>
        <v>7000</v>
      </c>
      <c r="C15" s="25">
        <f>SUM(C16:C17)</f>
        <v>6531.53</v>
      </c>
      <c r="D15" s="27">
        <f t="shared" si="0"/>
        <v>93.30757142857142</v>
      </c>
      <c r="E15" s="51">
        <f t="shared" si="1"/>
        <v>-468.47000000000025</v>
      </c>
    </row>
    <row r="16" spans="1:5" ht="12.75">
      <c r="A16" s="17" t="s">
        <v>42</v>
      </c>
      <c r="B16" s="26">
        <v>7000</v>
      </c>
      <c r="C16" s="28">
        <v>4636.67</v>
      </c>
      <c r="D16" s="27">
        <f t="shared" si="0"/>
        <v>66.23814285714286</v>
      </c>
      <c r="E16" s="51">
        <f t="shared" si="1"/>
        <v>-2363.33</v>
      </c>
    </row>
    <row r="17" spans="1:5" ht="25.5" customHeight="1">
      <c r="A17" s="17" t="s">
        <v>43</v>
      </c>
      <c r="B17" s="26">
        <v>0</v>
      </c>
      <c r="C17" s="28">
        <v>1894.86</v>
      </c>
      <c r="D17" s="27" t="str">
        <f t="shared" si="0"/>
        <v>   </v>
      </c>
      <c r="E17" s="51">
        <f t="shared" si="1"/>
        <v>1894.86</v>
      </c>
    </row>
    <row r="18" spans="1:5" ht="18.75" customHeight="1">
      <c r="A18" s="17" t="s">
        <v>121</v>
      </c>
      <c r="B18" s="26">
        <v>0</v>
      </c>
      <c r="C18" s="28">
        <v>0</v>
      </c>
      <c r="D18" s="27" t="str">
        <f t="shared" si="0"/>
        <v>   </v>
      </c>
      <c r="E18" s="51">
        <f t="shared" si="1"/>
        <v>0</v>
      </c>
    </row>
    <row r="19" spans="1:5" ht="17.25" customHeight="1">
      <c r="A19" s="17" t="s">
        <v>109</v>
      </c>
      <c r="B19" s="25">
        <v>0</v>
      </c>
      <c r="C19" s="25">
        <v>4261.5</v>
      </c>
      <c r="D19" s="27" t="str">
        <f t="shared" si="0"/>
        <v>   </v>
      </c>
      <c r="E19" s="51">
        <f t="shared" si="1"/>
        <v>4261.5</v>
      </c>
    </row>
    <row r="20" spans="1:5" ht="27.75" customHeight="1">
      <c r="A20" s="17" t="s">
        <v>110</v>
      </c>
      <c r="B20" s="26">
        <v>0</v>
      </c>
      <c r="C20" s="28">
        <v>4261.5</v>
      </c>
      <c r="D20" s="27" t="str">
        <f t="shared" si="0"/>
        <v>   </v>
      </c>
      <c r="E20" s="51">
        <f t="shared" si="1"/>
        <v>4261.5</v>
      </c>
    </row>
    <row r="21" spans="1:5" ht="14.25" customHeight="1">
      <c r="A21" s="17" t="s">
        <v>45</v>
      </c>
      <c r="B21" s="26">
        <f>B22+B23</f>
        <v>0</v>
      </c>
      <c r="C21" s="26">
        <f>SUM(C22:C23)</f>
        <v>4100</v>
      </c>
      <c r="D21" s="27" t="str">
        <f t="shared" si="0"/>
        <v>   </v>
      </c>
      <c r="E21" s="51">
        <f t="shared" si="1"/>
        <v>4100</v>
      </c>
    </row>
    <row r="22" spans="1:5" ht="12.75">
      <c r="A22" s="17" t="s">
        <v>60</v>
      </c>
      <c r="B22" s="26">
        <v>0</v>
      </c>
      <c r="C22" s="26">
        <v>0</v>
      </c>
      <c r="D22" s="27"/>
      <c r="E22" s="51"/>
    </row>
    <row r="23" spans="1:5" ht="12.75">
      <c r="A23" s="17" t="s">
        <v>71</v>
      </c>
      <c r="B23" s="26">
        <v>0</v>
      </c>
      <c r="C23" s="28">
        <v>4100</v>
      </c>
      <c r="D23" s="27" t="str">
        <f t="shared" si="0"/>
        <v>   </v>
      </c>
      <c r="E23" s="51">
        <f t="shared" si="1"/>
        <v>4100</v>
      </c>
    </row>
    <row r="24" spans="1:5" ht="15.75" customHeight="1">
      <c r="A24" s="17" t="s">
        <v>44</v>
      </c>
      <c r="B24" s="26">
        <v>0</v>
      </c>
      <c r="C24" s="26">
        <v>0</v>
      </c>
      <c r="D24" s="27" t="str">
        <f t="shared" si="0"/>
        <v>   </v>
      </c>
      <c r="E24" s="51">
        <f t="shared" si="1"/>
        <v>0</v>
      </c>
    </row>
    <row r="25" spans="1:5" ht="18" customHeight="1">
      <c r="A25" s="16" t="s">
        <v>11</v>
      </c>
      <c r="B25" s="52">
        <f>SUM(B7,B9,B11,B15,B18,B19,B21,B24,B14)</f>
        <v>300600</v>
      </c>
      <c r="C25" s="52">
        <f>SUM(C7,C9,C11,C15,C18,C19,C21,C24,C14)</f>
        <v>54092.38</v>
      </c>
      <c r="D25" s="27">
        <f t="shared" si="0"/>
        <v>17.99480372588157</v>
      </c>
      <c r="E25" s="51">
        <f t="shared" si="1"/>
        <v>-246507.62</v>
      </c>
    </row>
    <row r="26" spans="1:5" ht="18" customHeight="1">
      <c r="A26" s="122" t="s">
        <v>261</v>
      </c>
      <c r="B26" s="52">
        <v>0</v>
      </c>
      <c r="C26" s="52">
        <v>-156561.7</v>
      </c>
      <c r="D26" s="27"/>
      <c r="E26" s="51"/>
    </row>
    <row r="27" spans="1:5" ht="16.5" customHeight="1">
      <c r="A27" s="18" t="s">
        <v>47</v>
      </c>
      <c r="B27" s="25">
        <v>1582300</v>
      </c>
      <c r="C27" s="25">
        <v>628100</v>
      </c>
      <c r="D27" s="27">
        <f t="shared" si="0"/>
        <v>39.695380142830054</v>
      </c>
      <c r="E27" s="51">
        <f t="shared" si="1"/>
        <v>-954200</v>
      </c>
    </row>
    <row r="28" spans="1:5" ht="14.25" customHeight="1">
      <c r="A28" s="17" t="s">
        <v>68</v>
      </c>
      <c r="B28" s="26">
        <v>200000</v>
      </c>
      <c r="C28" s="28">
        <v>0</v>
      </c>
      <c r="D28" s="27">
        <f t="shared" si="0"/>
        <v>0</v>
      </c>
      <c r="E28" s="51">
        <f t="shared" si="1"/>
        <v>-200000</v>
      </c>
    </row>
    <row r="29" spans="1:5" ht="30.75" customHeight="1">
      <c r="A29" s="17" t="s">
        <v>72</v>
      </c>
      <c r="B29" s="26">
        <v>45900</v>
      </c>
      <c r="C29" s="28">
        <v>45900</v>
      </c>
      <c r="D29" s="27">
        <f t="shared" si="0"/>
        <v>100</v>
      </c>
      <c r="E29" s="51">
        <f t="shared" si="1"/>
        <v>0</v>
      </c>
    </row>
    <row r="30" spans="1:5" ht="27" customHeight="1">
      <c r="A30" s="17" t="s">
        <v>73</v>
      </c>
      <c r="B30" s="26">
        <v>100</v>
      </c>
      <c r="C30" s="26">
        <v>0</v>
      </c>
      <c r="D30" s="27">
        <f t="shared" si="0"/>
        <v>0</v>
      </c>
      <c r="E30" s="51">
        <f t="shared" si="1"/>
        <v>-100</v>
      </c>
    </row>
    <row r="31" spans="1:5" ht="42.75" customHeight="1">
      <c r="A31" s="17" t="s">
        <v>185</v>
      </c>
      <c r="B31" s="26">
        <v>0</v>
      </c>
      <c r="C31" s="26">
        <v>0</v>
      </c>
      <c r="D31" s="27" t="str">
        <f t="shared" si="0"/>
        <v>   </v>
      </c>
      <c r="E31" s="51">
        <f t="shared" si="1"/>
        <v>0</v>
      </c>
    </row>
    <row r="32" spans="1:5" ht="25.5" customHeight="1">
      <c r="A32" s="17" t="s">
        <v>123</v>
      </c>
      <c r="B32" s="26">
        <v>109400</v>
      </c>
      <c r="C32" s="26">
        <v>0</v>
      </c>
      <c r="D32" s="27">
        <f t="shared" si="0"/>
        <v>0</v>
      </c>
      <c r="E32" s="51">
        <f t="shared" si="1"/>
        <v>-109400</v>
      </c>
    </row>
    <row r="33" spans="1:5" ht="27.75" customHeight="1">
      <c r="A33" s="17" t="s">
        <v>203</v>
      </c>
      <c r="B33" s="26">
        <v>0</v>
      </c>
      <c r="C33" s="26">
        <v>0</v>
      </c>
      <c r="D33" s="27" t="str">
        <f t="shared" si="0"/>
        <v>   </v>
      </c>
      <c r="E33" s="51">
        <f t="shared" si="1"/>
        <v>0</v>
      </c>
    </row>
    <row r="34" spans="1:5" ht="40.5" customHeight="1">
      <c r="A34" s="17" t="s">
        <v>183</v>
      </c>
      <c r="B34" s="26">
        <v>0</v>
      </c>
      <c r="C34" s="26">
        <v>0</v>
      </c>
      <c r="D34" s="27" t="str">
        <f t="shared" si="0"/>
        <v>   </v>
      </c>
      <c r="E34" s="51">
        <f t="shared" si="1"/>
        <v>0</v>
      </c>
    </row>
    <row r="35" spans="1:5" ht="30.75" customHeight="1">
      <c r="A35" s="17" t="s">
        <v>177</v>
      </c>
      <c r="B35" s="26">
        <v>3700</v>
      </c>
      <c r="C35" s="26">
        <v>0</v>
      </c>
      <c r="D35" s="27">
        <f t="shared" si="0"/>
        <v>0</v>
      </c>
      <c r="E35" s="51">
        <f t="shared" si="1"/>
        <v>-3700</v>
      </c>
    </row>
    <row r="36" spans="1:5" ht="17.25" customHeight="1">
      <c r="A36" s="17" t="s">
        <v>79</v>
      </c>
      <c r="B36" s="26">
        <f>B37</f>
        <v>225000</v>
      </c>
      <c r="C36" s="26">
        <f>C37</f>
        <v>49995</v>
      </c>
      <c r="D36" s="27">
        <f t="shared" si="0"/>
        <v>22.220000000000002</v>
      </c>
      <c r="E36" s="51">
        <f t="shared" si="1"/>
        <v>-175005</v>
      </c>
    </row>
    <row r="37" spans="1:5" s="7" customFormat="1" ht="14.25" customHeight="1">
      <c r="A37" s="17" t="s">
        <v>216</v>
      </c>
      <c r="B37" s="66">
        <v>225000</v>
      </c>
      <c r="C37" s="26">
        <v>49995</v>
      </c>
      <c r="D37" s="66">
        <f t="shared" si="0"/>
        <v>22.220000000000002</v>
      </c>
      <c r="E37" s="45">
        <f t="shared" si="1"/>
        <v>-175005</v>
      </c>
    </row>
    <row r="38" spans="1:5" ht="18.75" customHeight="1">
      <c r="A38" s="17" t="s">
        <v>48</v>
      </c>
      <c r="B38" s="26">
        <v>0</v>
      </c>
      <c r="C38" s="26">
        <v>0</v>
      </c>
      <c r="D38" s="27" t="str">
        <f t="shared" si="0"/>
        <v>   </v>
      </c>
      <c r="E38" s="51">
        <f t="shared" si="1"/>
        <v>0</v>
      </c>
    </row>
    <row r="39" spans="1:5" ht="23.25" customHeight="1">
      <c r="A39" s="16" t="s">
        <v>14</v>
      </c>
      <c r="B39" s="25">
        <f>SUM(B25,B27,B28,B29:B30,B31,B32,B33,B34,B35,B36,B38)</f>
        <v>2467000</v>
      </c>
      <c r="C39" s="25">
        <f>SUM(C25,C26,C27,C28,C29:C30,C31,C33,C34,C35,C36,C38)</f>
        <v>621525.6799999999</v>
      </c>
      <c r="D39" s="27">
        <f t="shared" si="0"/>
        <v>25.193582488852854</v>
      </c>
      <c r="E39" s="51">
        <f t="shared" si="1"/>
        <v>-1845474.32</v>
      </c>
    </row>
    <row r="40" spans="1:5" ht="12.75">
      <c r="A40" s="23" t="s">
        <v>15</v>
      </c>
      <c r="B40" s="53"/>
      <c r="C40" s="54"/>
      <c r="D40" s="27" t="str">
        <f t="shared" si="0"/>
        <v>   </v>
      </c>
      <c r="E40" s="51">
        <f t="shared" si="1"/>
        <v>0</v>
      </c>
    </row>
    <row r="41" spans="1:5" ht="12.75">
      <c r="A41" s="17" t="s">
        <v>49</v>
      </c>
      <c r="B41" s="26">
        <v>854300</v>
      </c>
      <c r="C41" s="26">
        <v>276534.14</v>
      </c>
      <c r="D41" s="27">
        <f t="shared" si="0"/>
        <v>32.36967575793047</v>
      </c>
      <c r="E41" s="51">
        <f t="shared" si="1"/>
        <v>-577765.86</v>
      </c>
    </row>
    <row r="42" spans="1:5" ht="14.25" customHeight="1">
      <c r="A42" s="17" t="s">
        <v>50</v>
      </c>
      <c r="B42" s="26">
        <v>757800</v>
      </c>
      <c r="C42" s="26">
        <v>276534.14</v>
      </c>
      <c r="D42" s="27">
        <f t="shared" si="0"/>
        <v>36.49170493533914</v>
      </c>
      <c r="E42" s="51">
        <f t="shared" si="1"/>
        <v>-481265.86</v>
      </c>
    </row>
    <row r="43" spans="1:5" ht="12.75">
      <c r="A43" s="123" t="s">
        <v>264</v>
      </c>
      <c r="B43" s="26">
        <v>476900</v>
      </c>
      <c r="C43" s="29">
        <v>162210.23</v>
      </c>
      <c r="D43" s="27">
        <f t="shared" si="0"/>
        <v>34.01346823233383</v>
      </c>
      <c r="E43" s="51">
        <f t="shared" si="1"/>
        <v>-314689.77</v>
      </c>
    </row>
    <row r="44" spans="1:5" ht="12.75">
      <c r="A44" s="17" t="s">
        <v>220</v>
      </c>
      <c r="B44" s="26">
        <v>100</v>
      </c>
      <c r="C44" s="29">
        <v>0</v>
      </c>
      <c r="D44" s="27">
        <f t="shared" si="0"/>
        <v>0</v>
      </c>
      <c r="E44" s="51">
        <f t="shared" si="1"/>
        <v>-100</v>
      </c>
    </row>
    <row r="45" spans="1:5" ht="12.75">
      <c r="A45" s="17" t="s">
        <v>169</v>
      </c>
      <c r="B45" s="26">
        <v>500</v>
      </c>
      <c r="C45" s="28">
        <v>0</v>
      </c>
      <c r="D45" s="27">
        <f t="shared" si="0"/>
        <v>0</v>
      </c>
      <c r="E45" s="51">
        <f t="shared" si="1"/>
        <v>-500</v>
      </c>
    </row>
    <row r="46" spans="1:5" ht="12.75">
      <c r="A46" s="17" t="s">
        <v>74</v>
      </c>
      <c r="B46" s="26">
        <f>B47</f>
        <v>96000</v>
      </c>
      <c r="C46" s="26">
        <f>C47</f>
        <v>0</v>
      </c>
      <c r="D46" s="27">
        <f t="shared" si="0"/>
        <v>0</v>
      </c>
      <c r="E46" s="51">
        <f t="shared" si="1"/>
        <v>-96000</v>
      </c>
    </row>
    <row r="47" spans="1:5" ht="12.75">
      <c r="A47" s="17" t="s">
        <v>93</v>
      </c>
      <c r="B47" s="26">
        <v>96000</v>
      </c>
      <c r="C47" s="28">
        <v>0</v>
      </c>
      <c r="D47" s="27">
        <f t="shared" si="0"/>
        <v>0</v>
      </c>
      <c r="E47" s="51">
        <f t="shared" si="1"/>
        <v>-96000</v>
      </c>
    </row>
    <row r="48" spans="1:5" ht="12.75">
      <c r="A48" s="17" t="s">
        <v>70</v>
      </c>
      <c r="B48" s="28">
        <f>SUM(B49)</f>
        <v>45900</v>
      </c>
      <c r="C48" s="28">
        <f>SUM(C49)</f>
        <v>19270.22</v>
      </c>
      <c r="D48" s="27">
        <f t="shared" si="0"/>
        <v>41.98305010893246</v>
      </c>
      <c r="E48" s="51">
        <f t="shared" si="1"/>
        <v>-26629.78</v>
      </c>
    </row>
    <row r="49" spans="1:5" ht="24.75" customHeight="1">
      <c r="A49" s="17" t="s">
        <v>212</v>
      </c>
      <c r="B49" s="26">
        <v>45900</v>
      </c>
      <c r="C49" s="28">
        <v>19270.22</v>
      </c>
      <c r="D49" s="27">
        <f t="shared" si="0"/>
        <v>41.98305010893246</v>
      </c>
      <c r="E49" s="51">
        <f t="shared" si="1"/>
        <v>-26629.78</v>
      </c>
    </row>
    <row r="50" spans="1:5" ht="14.25" customHeight="1">
      <c r="A50" s="17" t="s">
        <v>51</v>
      </c>
      <c r="B50" s="26">
        <f>SUM(B51)</f>
        <v>600</v>
      </c>
      <c r="C50" s="28">
        <f>SUM(C51)</f>
        <v>0</v>
      </c>
      <c r="D50" s="27">
        <f t="shared" si="0"/>
        <v>0</v>
      </c>
      <c r="E50" s="51">
        <f t="shared" si="1"/>
        <v>-600</v>
      </c>
    </row>
    <row r="51" spans="1:5" ht="25.5" customHeight="1">
      <c r="A51" s="49" t="s">
        <v>154</v>
      </c>
      <c r="B51" s="26">
        <v>600</v>
      </c>
      <c r="C51" s="28">
        <v>0</v>
      </c>
      <c r="D51" s="27">
        <f t="shared" si="0"/>
        <v>0</v>
      </c>
      <c r="E51" s="51">
        <f t="shared" si="1"/>
        <v>-600</v>
      </c>
    </row>
    <row r="52" spans="1:5" ht="12.75">
      <c r="A52" s="17" t="s">
        <v>52</v>
      </c>
      <c r="B52" s="26">
        <f>SUM(B53)</f>
        <v>0</v>
      </c>
      <c r="C52" s="26">
        <f>SUM(C53)</f>
        <v>0</v>
      </c>
      <c r="D52" s="27" t="str">
        <f t="shared" si="0"/>
        <v>   </v>
      </c>
      <c r="E52" s="51">
        <f t="shared" si="1"/>
        <v>0</v>
      </c>
    </row>
    <row r="53" spans="1:5" ht="12.75" customHeight="1">
      <c r="A53" s="17" t="s">
        <v>190</v>
      </c>
      <c r="B53" s="26">
        <v>0</v>
      </c>
      <c r="C53" s="26">
        <v>0</v>
      </c>
      <c r="D53" s="27" t="str">
        <f t="shared" si="0"/>
        <v>   </v>
      </c>
      <c r="E53" s="51">
        <f t="shared" si="1"/>
        <v>0</v>
      </c>
    </row>
    <row r="54" spans="1:5" ht="12.75" customHeight="1">
      <c r="A54" s="17" t="s">
        <v>186</v>
      </c>
      <c r="B54" s="26">
        <v>0</v>
      </c>
      <c r="C54" s="26">
        <v>0</v>
      </c>
      <c r="D54" s="27" t="str">
        <f t="shared" si="0"/>
        <v>   </v>
      </c>
      <c r="E54" s="51">
        <f t="shared" si="1"/>
        <v>0</v>
      </c>
    </row>
    <row r="55" spans="1:5" ht="12.75" customHeight="1">
      <c r="A55" s="17" t="s">
        <v>187</v>
      </c>
      <c r="B55" s="26">
        <v>0</v>
      </c>
      <c r="C55" s="26">
        <v>0</v>
      </c>
      <c r="D55" s="27" t="str">
        <f t="shared" si="0"/>
        <v>   </v>
      </c>
      <c r="E55" s="51">
        <f t="shared" si="1"/>
        <v>0</v>
      </c>
    </row>
    <row r="56" spans="1:5" ht="12.75" customHeight="1">
      <c r="A56" s="17" t="s">
        <v>188</v>
      </c>
      <c r="B56" s="26">
        <v>0</v>
      </c>
      <c r="C56" s="26">
        <v>0</v>
      </c>
      <c r="D56" s="27" t="str">
        <f t="shared" si="0"/>
        <v>   </v>
      </c>
      <c r="E56" s="51">
        <f t="shared" si="1"/>
        <v>0</v>
      </c>
    </row>
    <row r="57" spans="1:5" ht="12.75" customHeight="1">
      <c r="A57" s="17" t="s">
        <v>189</v>
      </c>
      <c r="B57" s="26">
        <v>0</v>
      </c>
      <c r="C57" s="26">
        <v>0</v>
      </c>
      <c r="D57" s="27" t="str">
        <f t="shared" si="0"/>
        <v>   </v>
      </c>
      <c r="E57" s="51">
        <f t="shared" si="1"/>
        <v>0</v>
      </c>
    </row>
    <row r="58" spans="1:5" ht="13.5" customHeight="1">
      <c r="A58" s="17" t="s">
        <v>16</v>
      </c>
      <c r="B58" s="26">
        <f>SUM(B59)</f>
        <v>540000</v>
      </c>
      <c r="C58" s="26">
        <f>SUM(C59)</f>
        <v>162431.58</v>
      </c>
      <c r="D58" s="27">
        <f t="shared" si="0"/>
        <v>30.079922222222223</v>
      </c>
      <c r="E58" s="51">
        <f t="shared" si="1"/>
        <v>-377568.42000000004</v>
      </c>
    </row>
    <row r="59" spans="1:5" ht="12.75">
      <c r="A59" s="17" t="s">
        <v>87</v>
      </c>
      <c r="B59" s="26">
        <v>540000</v>
      </c>
      <c r="C59" s="26">
        <v>162431.58</v>
      </c>
      <c r="D59" s="27">
        <f t="shared" si="0"/>
        <v>30.079922222222223</v>
      </c>
      <c r="E59" s="51">
        <f t="shared" si="1"/>
        <v>-377568.42000000004</v>
      </c>
    </row>
    <row r="60" spans="1:5" ht="12.75">
      <c r="A60" s="17" t="s">
        <v>85</v>
      </c>
      <c r="B60" s="26">
        <v>145000</v>
      </c>
      <c r="C60" s="28">
        <v>62441.58</v>
      </c>
      <c r="D60" s="27">
        <f t="shared" si="0"/>
        <v>43.063158620689656</v>
      </c>
      <c r="E60" s="51">
        <f t="shared" si="1"/>
        <v>-82558.42</v>
      </c>
    </row>
    <row r="61" spans="1:5" ht="12.75">
      <c r="A61" s="17" t="s">
        <v>137</v>
      </c>
      <c r="B61" s="26">
        <v>225000</v>
      </c>
      <c r="C61" s="28">
        <v>49995</v>
      </c>
      <c r="D61" s="27">
        <f t="shared" si="0"/>
        <v>22.220000000000002</v>
      </c>
      <c r="E61" s="51">
        <f t="shared" si="1"/>
        <v>-175005</v>
      </c>
    </row>
    <row r="62" spans="1:5" ht="12.75">
      <c r="A62" s="17" t="s">
        <v>138</v>
      </c>
      <c r="B62" s="26">
        <v>130000</v>
      </c>
      <c r="C62" s="28">
        <v>49995</v>
      </c>
      <c r="D62" s="27">
        <f t="shared" si="0"/>
        <v>38.45769230769231</v>
      </c>
      <c r="E62" s="51">
        <f t="shared" si="1"/>
        <v>-80005</v>
      </c>
    </row>
    <row r="63" spans="1:5" ht="12.75">
      <c r="A63" s="17" t="s">
        <v>88</v>
      </c>
      <c r="B63" s="26">
        <v>40000</v>
      </c>
      <c r="C63" s="28">
        <v>0</v>
      </c>
      <c r="D63" s="27">
        <f t="shared" si="0"/>
        <v>0</v>
      </c>
      <c r="E63" s="51">
        <f t="shared" si="1"/>
        <v>-40000</v>
      </c>
    </row>
    <row r="64" spans="1:5" ht="17.25" customHeight="1">
      <c r="A64" s="19" t="s">
        <v>25</v>
      </c>
      <c r="B64" s="32">
        <v>10000</v>
      </c>
      <c r="C64" s="32">
        <v>550</v>
      </c>
      <c r="D64" s="27">
        <f t="shared" si="0"/>
        <v>5.5</v>
      </c>
      <c r="E64" s="51">
        <f t="shared" si="1"/>
        <v>-9450</v>
      </c>
    </row>
    <row r="65" spans="1:5" ht="15.75" customHeight="1">
      <c r="A65" s="17" t="s">
        <v>55</v>
      </c>
      <c r="B65" s="25">
        <f>B66</f>
        <v>1008600</v>
      </c>
      <c r="C65" s="25">
        <f>C66</f>
        <v>349805.91</v>
      </c>
      <c r="D65" s="27">
        <f t="shared" si="0"/>
        <v>34.6823230220107</v>
      </c>
      <c r="E65" s="51">
        <f t="shared" si="1"/>
        <v>-658794.0900000001</v>
      </c>
    </row>
    <row r="66" spans="1:5" ht="12.75">
      <c r="A66" s="17" t="s">
        <v>56</v>
      </c>
      <c r="B66" s="26">
        <v>1008600</v>
      </c>
      <c r="C66" s="28">
        <v>349805.91</v>
      </c>
      <c r="D66" s="27">
        <f t="shared" si="0"/>
        <v>34.6823230220107</v>
      </c>
      <c r="E66" s="51">
        <f t="shared" si="1"/>
        <v>-658794.0900000001</v>
      </c>
    </row>
    <row r="67" spans="1:5" ht="12.75">
      <c r="A67" s="123" t="s">
        <v>264</v>
      </c>
      <c r="B67" s="26">
        <v>506700</v>
      </c>
      <c r="C67" s="28">
        <v>161689.01</v>
      </c>
      <c r="D67" s="27">
        <f t="shared" si="0"/>
        <v>31.910205249654627</v>
      </c>
      <c r="E67" s="51">
        <f t="shared" si="1"/>
        <v>-345010.99</v>
      </c>
    </row>
    <row r="68" spans="1:5" ht="15.75" customHeight="1">
      <c r="A68" s="17" t="s">
        <v>213</v>
      </c>
      <c r="B68" s="26">
        <v>3700</v>
      </c>
      <c r="C68" s="28">
        <v>0</v>
      </c>
      <c r="D68" s="27">
        <f t="shared" si="0"/>
        <v>0</v>
      </c>
      <c r="E68" s="51">
        <f t="shared" si="1"/>
        <v>-3700</v>
      </c>
    </row>
    <row r="69" spans="1:5" ht="12.75">
      <c r="A69" s="17" t="s">
        <v>271</v>
      </c>
      <c r="B69" s="26">
        <f>SUM(B70,)</f>
        <v>15000</v>
      </c>
      <c r="C69" s="26">
        <f>SUM(C70,)</f>
        <v>11500</v>
      </c>
      <c r="D69" s="27">
        <f t="shared" si="0"/>
        <v>76.66666666666667</v>
      </c>
      <c r="E69" s="51">
        <f t="shared" si="1"/>
        <v>-3500</v>
      </c>
    </row>
    <row r="70" spans="1:5" ht="12.75">
      <c r="A70" s="17" t="s">
        <v>57</v>
      </c>
      <c r="B70" s="26">
        <v>15000</v>
      </c>
      <c r="C70" s="29">
        <v>11500</v>
      </c>
      <c r="D70" s="27">
        <f t="shared" si="0"/>
        <v>76.66666666666667</v>
      </c>
      <c r="E70" s="51">
        <f t="shared" si="1"/>
        <v>-3500</v>
      </c>
    </row>
    <row r="71" spans="1:5" ht="12.75">
      <c r="A71" s="17" t="s">
        <v>18</v>
      </c>
      <c r="B71" s="26">
        <f>B72</f>
        <v>212600</v>
      </c>
      <c r="C71" s="26">
        <f>C72</f>
        <v>0</v>
      </c>
      <c r="D71" s="27">
        <f aca="true" t="shared" si="2" ref="D71:D90">IF(B71=0,"   ",C71/B71*100)</f>
        <v>0</v>
      </c>
      <c r="E71" s="51">
        <f t="shared" si="1"/>
        <v>-212600</v>
      </c>
    </row>
    <row r="72" spans="1:5" ht="12.75">
      <c r="A72" s="17" t="s">
        <v>281</v>
      </c>
      <c r="B72" s="26">
        <f>SUM(B73,B78,B85)</f>
        <v>212600</v>
      </c>
      <c r="C72" s="26">
        <f>SUM(C73,C78,C85)</f>
        <v>0</v>
      </c>
      <c r="D72" s="27"/>
      <c r="E72" s="51"/>
    </row>
    <row r="73" spans="1:5" ht="12.75">
      <c r="A73" s="126" t="s">
        <v>279</v>
      </c>
      <c r="B73" s="127">
        <f>SUM(B74)</f>
        <v>75800</v>
      </c>
      <c r="C73" s="127">
        <f>SUM(C74)</f>
        <v>0</v>
      </c>
      <c r="D73" s="27">
        <f t="shared" si="2"/>
        <v>0</v>
      </c>
      <c r="E73" s="51">
        <f t="shared" si="1"/>
        <v>-75800</v>
      </c>
    </row>
    <row r="74" spans="1:5" ht="25.5">
      <c r="A74" s="17" t="s">
        <v>290</v>
      </c>
      <c r="B74" s="26">
        <f>SUM(B75:B77)</f>
        <v>75800</v>
      </c>
      <c r="C74" s="26">
        <f>SUM(C75:C77)</f>
        <v>0</v>
      </c>
      <c r="D74" s="27">
        <f t="shared" si="2"/>
        <v>0</v>
      </c>
      <c r="E74" s="51">
        <f t="shared" si="1"/>
        <v>-75800</v>
      </c>
    </row>
    <row r="75" spans="1:5" ht="12.75">
      <c r="A75" s="49" t="s">
        <v>292</v>
      </c>
      <c r="B75" s="132">
        <v>0</v>
      </c>
      <c r="C75" s="132"/>
      <c r="D75" s="27" t="str">
        <f t="shared" si="2"/>
        <v>   </v>
      </c>
      <c r="E75" s="51">
        <f t="shared" si="1"/>
        <v>0</v>
      </c>
    </row>
    <row r="76" spans="1:5" ht="12.75">
      <c r="A76" s="49" t="s">
        <v>293</v>
      </c>
      <c r="B76" s="132">
        <v>0</v>
      </c>
      <c r="C76" s="132"/>
      <c r="D76" s="27" t="str">
        <f t="shared" si="2"/>
        <v>   </v>
      </c>
      <c r="E76" s="51">
        <f t="shared" si="1"/>
        <v>0</v>
      </c>
    </row>
    <row r="77" spans="1:5" ht="12.75">
      <c r="A77" s="49" t="s">
        <v>294</v>
      </c>
      <c r="B77" s="132">
        <v>75800</v>
      </c>
      <c r="C77" s="132"/>
      <c r="D77" s="27">
        <f t="shared" si="2"/>
        <v>0</v>
      </c>
      <c r="E77" s="51">
        <f t="shared" si="1"/>
        <v>-75800</v>
      </c>
    </row>
    <row r="78" spans="1:6" ht="12.75">
      <c r="A78" s="126" t="s">
        <v>280</v>
      </c>
      <c r="B78" s="17">
        <f>SUM(B79,B82)</f>
        <v>0</v>
      </c>
      <c r="C78" s="17">
        <f>SUM(C79,C82)</f>
        <v>0</v>
      </c>
      <c r="D78" s="27" t="str">
        <f t="shared" si="2"/>
        <v>   </v>
      </c>
      <c r="E78" s="28">
        <f t="shared" si="1"/>
        <v>0</v>
      </c>
      <c r="F78" s="131"/>
    </row>
    <row r="79" spans="1:6" ht="12.75">
      <c r="A79" s="17" t="s">
        <v>284</v>
      </c>
      <c r="B79" s="17">
        <f>SUM(B80:B81)</f>
        <v>0</v>
      </c>
      <c r="C79" s="17">
        <f>SUM(C80:C81)</f>
        <v>0</v>
      </c>
      <c r="D79" s="27" t="str">
        <f t="shared" si="2"/>
        <v>   </v>
      </c>
      <c r="E79" s="28">
        <f t="shared" si="1"/>
        <v>0</v>
      </c>
      <c r="F79" s="131"/>
    </row>
    <row r="80" spans="1:6" ht="12.75">
      <c r="A80" s="49" t="s">
        <v>293</v>
      </c>
      <c r="B80" s="17">
        <v>0</v>
      </c>
      <c r="C80" s="26"/>
      <c r="D80" s="27" t="str">
        <f t="shared" si="2"/>
        <v>   </v>
      </c>
      <c r="E80" s="28">
        <f t="shared" si="1"/>
        <v>0</v>
      </c>
      <c r="F80" s="131"/>
    </row>
    <row r="81" spans="1:6" ht="12.75">
      <c r="A81" s="49" t="s">
        <v>294</v>
      </c>
      <c r="B81" s="17">
        <v>0</v>
      </c>
      <c r="C81" s="26"/>
      <c r="D81" s="27" t="str">
        <f t="shared" si="2"/>
        <v>   </v>
      </c>
      <c r="E81" s="28">
        <f t="shared" si="1"/>
        <v>0</v>
      </c>
      <c r="F81" s="131"/>
    </row>
    <row r="82" spans="1:6" ht="25.5">
      <c r="A82" s="17" t="s">
        <v>283</v>
      </c>
      <c r="B82" s="17">
        <f>SUM(B83:B84)</f>
        <v>0</v>
      </c>
      <c r="C82" s="17">
        <f>SUM(C83:C84)</f>
        <v>0</v>
      </c>
      <c r="D82" s="27" t="str">
        <f t="shared" si="2"/>
        <v>   </v>
      </c>
      <c r="E82" s="28">
        <f t="shared" si="1"/>
        <v>0</v>
      </c>
      <c r="F82" s="131"/>
    </row>
    <row r="83" spans="1:6" ht="12.75">
      <c r="A83" s="49" t="s">
        <v>293</v>
      </c>
      <c r="B83" s="130">
        <v>0</v>
      </c>
      <c r="C83" s="26"/>
      <c r="D83" s="27" t="str">
        <f t="shared" si="2"/>
        <v>   </v>
      </c>
      <c r="E83" s="51">
        <f t="shared" si="1"/>
        <v>0</v>
      </c>
      <c r="F83" s="131"/>
    </row>
    <row r="84" spans="1:6" ht="12.75">
      <c r="A84" s="49" t="s">
        <v>294</v>
      </c>
      <c r="B84" s="130">
        <v>0</v>
      </c>
      <c r="C84" s="26"/>
      <c r="D84" s="27" t="str">
        <f t="shared" si="2"/>
        <v>   </v>
      </c>
      <c r="E84" s="51">
        <f t="shared" si="1"/>
        <v>0</v>
      </c>
      <c r="F84" s="131"/>
    </row>
    <row r="85" spans="1:6" ht="12.75">
      <c r="A85" s="126" t="s">
        <v>285</v>
      </c>
      <c r="B85" s="130">
        <f>SUM(B86:B88)</f>
        <v>136800</v>
      </c>
      <c r="C85" s="130">
        <f>SUM(C86:C88)</f>
        <v>0</v>
      </c>
      <c r="D85" s="27">
        <f t="shared" si="2"/>
        <v>0</v>
      </c>
      <c r="E85" s="51">
        <f t="shared" si="1"/>
        <v>-136800</v>
      </c>
      <c r="F85" s="131"/>
    </row>
    <row r="86" spans="1:6" ht="12.75">
      <c r="A86" s="49" t="s">
        <v>292</v>
      </c>
      <c r="B86" s="130">
        <v>0</v>
      </c>
      <c r="C86" s="26"/>
      <c r="D86" s="27" t="str">
        <f t="shared" si="2"/>
        <v>   </v>
      </c>
      <c r="E86" s="51">
        <f t="shared" si="1"/>
        <v>0</v>
      </c>
      <c r="F86" s="131"/>
    </row>
    <row r="87" spans="1:6" ht="12.75">
      <c r="A87" s="49" t="s">
        <v>293</v>
      </c>
      <c r="B87" s="130">
        <v>109400</v>
      </c>
      <c r="C87" s="26"/>
      <c r="D87" s="27">
        <f t="shared" si="2"/>
        <v>0</v>
      </c>
      <c r="E87" s="51">
        <f t="shared" si="1"/>
        <v>-109400</v>
      </c>
      <c r="F87" s="131"/>
    </row>
    <row r="88" spans="1:6" ht="12.75">
      <c r="A88" s="49" t="s">
        <v>294</v>
      </c>
      <c r="B88" s="130">
        <v>27400</v>
      </c>
      <c r="C88" s="26"/>
      <c r="D88" s="27">
        <f t="shared" si="2"/>
        <v>0</v>
      </c>
      <c r="E88" s="51">
        <f t="shared" si="1"/>
        <v>-27400</v>
      </c>
      <c r="F88" s="131"/>
    </row>
    <row r="89" spans="1:5" ht="15.75">
      <c r="A89" s="16" t="s">
        <v>19</v>
      </c>
      <c r="B89" s="25">
        <f>SUM(B41,B48,B50,B52,B58,B64,B65,B69,B71,)</f>
        <v>2687000</v>
      </c>
      <c r="C89" s="25">
        <f>SUM(C41,C48,C50,C52,C58,C64,C65,C69,C71,)</f>
        <v>820091.8499999999</v>
      </c>
      <c r="D89" s="27">
        <f t="shared" si="2"/>
        <v>30.52072385560104</v>
      </c>
      <c r="E89" s="51">
        <f t="shared" si="1"/>
        <v>-1866908.1500000001</v>
      </c>
    </row>
    <row r="90" spans="1:5" ht="13.5" thickBot="1">
      <c r="A90" s="100" t="s">
        <v>267</v>
      </c>
      <c r="B90" s="101">
        <f>B43+B67</f>
        <v>983600</v>
      </c>
      <c r="C90" s="101">
        <f>C43+C67</f>
        <v>323899.24</v>
      </c>
      <c r="D90" s="102">
        <f t="shared" si="2"/>
        <v>32.92997559983733</v>
      </c>
      <c r="E90" s="103">
        <f t="shared" si="1"/>
        <v>-659700.76</v>
      </c>
    </row>
    <row r="91" spans="1:5" ht="17.25" customHeight="1">
      <c r="A91" s="67" t="s">
        <v>21</v>
      </c>
      <c r="B91" s="67"/>
      <c r="C91" s="142"/>
      <c r="D91" s="142"/>
      <c r="E91" s="142"/>
    </row>
    <row r="92" spans="1:5" ht="12.75" customHeight="1">
      <c r="A92" s="67" t="s">
        <v>65</v>
      </c>
      <c r="B92" s="67"/>
      <c r="C92" s="68" t="s">
        <v>66</v>
      </c>
      <c r="D92" s="69"/>
      <c r="E92" s="70"/>
    </row>
    <row r="93" spans="1:5" ht="12.75">
      <c r="A93" s="7"/>
      <c r="B93" s="7"/>
      <c r="C93" s="6"/>
      <c r="D93" s="7"/>
      <c r="E93" s="2"/>
    </row>
    <row r="94" spans="1:5" ht="12.75">
      <c r="A94" s="7"/>
      <c r="B94" s="7"/>
      <c r="C94" s="6"/>
      <c r="D94" s="7"/>
      <c r="E94" s="2"/>
    </row>
    <row r="95" spans="1:5" ht="12.75">
      <c r="A95" s="7"/>
      <c r="B95" s="7"/>
      <c r="C95" s="6"/>
      <c r="D95" s="7"/>
      <c r="E95" s="2"/>
    </row>
    <row r="96" spans="1:5" ht="12.75">
      <c r="A96" s="7"/>
      <c r="B96" s="7"/>
      <c r="C96" s="6"/>
      <c r="D96" s="7"/>
      <c r="E96" s="2"/>
    </row>
  </sheetData>
  <mergeCells count="2">
    <mergeCell ref="A1:E1"/>
    <mergeCell ref="C91:E91"/>
  </mergeCells>
  <printOptions/>
  <pageMargins left="0.7874015748031497" right="0.7874015748031497" top="0.5118110236220472" bottom="0.4724409448818898" header="0.5118110236220472" footer="0.5118110236220472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02"/>
  <sheetViews>
    <sheetView zoomScale="75" zoomScaleNormal="75" workbookViewId="0" topLeftCell="A61">
      <selection activeCell="A77" sqref="A77:IV77"/>
    </sheetView>
  </sheetViews>
  <sheetFormatPr defaultColWidth="9.00390625" defaultRowHeight="12.75"/>
  <cols>
    <col min="1" max="1" width="107.75390625" style="0" customWidth="1"/>
    <col min="2" max="2" width="15.125" style="0" customWidth="1"/>
    <col min="3" max="3" width="16.625" style="0" customWidth="1"/>
    <col min="4" max="4" width="17.375" style="0" customWidth="1"/>
    <col min="5" max="5" width="17.00390625" style="0" customWidth="1"/>
  </cols>
  <sheetData>
    <row r="1" spans="1:5" ht="18">
      <c r="A1" s="141" t="s">
        <v>309</v>
      </c>
      <c r="B1" s="141"/>
      <c r="C1" s="141"/>
      <c r="D1" s="141"/>
      <c r="E1" s="141"/>
    </row>
    <row r="2" spans="1:5" ht="12.75">
      <c r="A2" s="4"/>
      <c r="B2" s="4"/>
      <c r="C2" s="3"/>
      <c r="D2" s="3"/>
      <c r="E2" s="3"/>
    </row>
    <row r="3" spans="1:5" ht="5.25" customHeight="1" thickBot="1">
      <c r="A3" s="4"/>
      <c r="B3" s="4"/>
      <c r="C3" s="5"/>
      <c r="D3" s="4"/>
      <c r="E3" s="4" t="s">
        <v>0</v>
      </c>
    </row>
    <row r="4" spans="1:5" ht="67.5" customHeight="1">
      <c r="A4" s="36" t="s">
        <v>1</v>
      </c>
      <c r="B4" s="20" t="s">
        <v>245</v>
      </c>
      <c r="C4" s="33" t="s">
        <v>307</v>
      </c>
      <c r="D4" s="20" t="s">
        <v>255</v>
      </c>
      <c r="E4" s="104" t="s">
        <v>258</v>
      </c>
    </row>
    <row r="5" spans="1:5" ht="12.75">
      <c r="A5" s="13">
        <v>1</v>
      </c>
      <c r="B5" s="99">
        <v>2</v>
      </c>
      <c r="C5" s="10">
        <v>3</v>
      </c>
      <c r="D5" s="30">
        <v>4</v>
      </c>
      <c r="E5" s="14">
        <v>5</v>
      </c>
    </row>
    <row r="6" spans="1:5" ht="12.75">
      <c r="A6" s="23" t="s">
        <v>2</v>
      </c>
      <c r="B6" s="11"/>
      <c r="C6" s="12"/>
      <c r="D6" s="26"/>
      <c r="E6" s="15"/>
    </row>
    <row r="7" spans="1:5" ht="12.75">
      <c r="A7" s="18" t="s">
        <v>59</v>
      </c>
      <c r="B7" s="25">
        <f>SUM(B8)</f>
        <v>788700</v>
      </c>
      <c r="C7" s="25">
        <f>SUM(C8)</f>
        <v>302064.84</v>
      </c>
      <c r="D7" s="27">
        <f aca="true" t="shared" si="0" ref="D7:D70">IF(B7=0,"   ",C7/B7*100)</f>
        <v>38.299079497907954</v>
      </c>
      <c r="E7" s="51">
        <f aca="true" t="shared" si="1" ref="E7:E94">C7-B7</f>
        <v>-486635.16</v>
      </c>
    </row>
    <row r="8" spans="1:5" ht="12.75">
      <c r="A8" s="17" t="s">
        <v>58</v>
      </c>
      <c r="B8" s="26">
        <v>788700</v>
      </c>
      <c r="C8" s="28">
        <v>302064.84</v>
      </c>
      <c r="D8" s="27">
        <f t="shared" si="0"/>
        <v>38.299079497907954</v>
      </c>
      <c r="E8" s="51">
        <f t="shared" si="1"/>
        <v>-486635.16</v>
      </c>
    </row>
    <row r="9" spans="1:5" ht="12.75">
      <c r="A9" s="17" t="s">
        <v>7</v>
      </c>
      <c r="B9" s="26">
        <f>SUM(B10:B10)</f>
        <v>6000</v>
      </c>
      <c r="C9" s="26">
        <f>C10</f>
        <v>2977.2</v>
      </c>
      <c r="D9" s="27">
        <f t="shared" si="0"/>
        <v>49.62</v>
      </c>
      <c r="E9" s="51">
        <f t="shared" si="1"/>
        <v>-3022.8</v>
      </c>
    </row>
    <row r="10" spans="1:5" ht="12.75">
      <c r="A10" s="17" t="s">
        <v>39</v>
      </c>
      <c r="B10" s="26">
        <v>6000</v>
      </c>
      <c r="C10" s="34">
        <v>2977.2</v>
      </c>
      <c r="D10" s="27">
        <f t="shared" si="0"/>
        <v>49.62</v>
      </c>
      <c r="E10" s="51">
        <f t="shared" si="1"/>
        <v>-3022.8</v>
      </c>
    </row>
    <row r="11" spans="1:5" ht="12.75">
      <c r="A11" s="17" t="s">
        <v>9</v>
      </c>
      <c r="B11" s="26">
        <f>SUM(B12:B13)</f>
        <v>108500</v>
      </c>
      <c r="C11" s="26">
        <f>SUM(C12:C13)</f>
        <v>44323.15</v>
      </c>
      <c r="D11" s="27">
        <f t="shared" si="0"/>
        <v>40.85082949308756</v>
      </c>
      <c r="E11" s="51">
        <f t="shared" si="1"/>
        <v>-64176.85</v>
      </c>
    </row>
    <row r="12" spans="1:5" ht="12.75">
      <c r="A12" s="17" t="s">
        <v>40</v>
      </c>
      <c r="B12" s="26">
        <v>66200</v>
      </c>
      <c r="C12" s="28">
        <v>13382.61</v>
      </c>
      <c r="D12" s="27">
        <f t="shared" si="0"/>
        <v>20.21542296072508</v>
      </c>
      <c r="E12" s="51">
        <f t="shared" si="1"/>
        <v>-52817.39</v>
      </c>
    </row>
    <row r="13" spans="1:5" ht="12.75">
      <c r="A13" s="17" t="s">
        <v>10</v>
      </c>
      <c r="B13" s="26">
        <v>42300</v>
      </c>
      <c r="C13" s="28">
        <v>30940.54</v>
      </c>
      <c r="D13" s="27">
        <f t="shared" si="0"/>
        <v>73.14548463356975</v>
      </c>
      <c r="E13" s="51">
        <f t="shared" si="1"/>
        <v>-11359.46</v>
      </c>
    </row>
    <row r="14" spans="1:5" ht="27" customHeight="1">
      <c r="A14" s="17" t="s">
        <v>152</v>
      </c>
      <c r="B14" s="26"/>
      <c r="C14" s="28">
        <v>569</v>
      </c>
      <c r="D14" s="27" t="str">
        <f t="shared" si="0"/>
        <v>   </v>
      </c>
      <c r="E14" s="51">
        <f t="shared" si="1"/>
        <v>569</v>
      </c>
    </row>
    <row r="15" spans="1:5" ht="26.25" customHeight="1">
      <c r="A15" s="17" t="s">
        <v>41</v>
      </c>
      <c r="B15" s="26">
        <v>1460000</v>
      </c>
      <c r="C15" s="26">
        <f>SUM(C16:C17)</f>
        <v>43249.97</v>
      </c>
      <c r="D15" s="27">
        <f t="shared" si="0"/>
        <v>2.9623267123287675</v>
      </c>
      <c r="E15" s="51">
        <f t="shared" si="1"/>
        <v>-1416750.03</v>
      </c>
    </row>
    <row r="16" spans="1:5" ht="12.75">
      <c r="A16" s="17" t="s">
        <v>42</v>
      </c>
      <c r="B16" s="26">
        <v>1458000</v>
      </c>
      <c r="C16" s="28">
        <v>32432.06</v>
      </c>
      <c r="D16" s="27">
        <f t="shared" si="0"/>
        <v>2.2244211248285324</v>
      </c>
      <c r="E16" s="51">
        <f t="shared" si="1"/>
        <v>-1425567.94</v>
      </c>
    </row>
    <row r="17" spans="1:5" ht="25.5" customHeight="1">
      <c r="A17" s="17" t="s">
        <v>43</v>
      </c>
      <c r="B17" s="26">
        <v>2000</v>
      </c>
      <c r="C17" s="26">
        <v>10817.91</v>
      </c>
      <c r="D17" s="27">
        <f t="shared" si="0"/>
        <v>540.8955</v>
      </c>
      <c r="E17" s="51">
        <f t="shared" si="1"/>
        <v>8817.91</v>
      </c>
    </row>
    <row r="18" spans="1:5" ht="16.5" customHeight="1">
      <c r="A18" s="44" t="s">
        <v>156</v>
      </c>
      <c r="B18" s="26">
        <v>0</v>
      </c>
      <c r="C18" s="28">
        <v>7478.95</v>
      </c>
      <c r="D18" s="27" t="str">
        <f t="shared" si="0"/>
        <v>   </v>
      </c>
      <c r="E18" s="51">
        <f t="shared" si="1"/>
        <v>7478.95</v>
      </c>
    </row>
    <row r="19" spans="1:5" ht="14.25" customHeight="1">
      <c r="A19" s="17" t="s">
        <v>112</v>
      </c>
      <c r="B19" s="26">
        <v>0</v>
      </c>
      <c r="C19" s="26">
        <f>SUM(C20:C20)</f>
        <v>4739.17</v>
      </c>
      <c r="D19" s="27" t="str">
        <f t="shared" si="0"/>
        <v>   </v>
      </c>
      <c r="E19" s="51">
        <f t="shared" si="1"/>
        <v>4739.17</v>
      </c>
    </row>
    <row r="20" spans="1:5" ht="26.25" customHeight="1">
      <c r="A20" s="17" t="s">
        <v>113</v>
      </c>
      <c r="B20" s="26">
        <v>0</v>
      </c>
      <c r="C20" s="26">
        <v>4739.17</v>
      </c>
      <c r="D20" s="27" t="str">
        <f t="shared" si="0"/>
        <v>   </v>
      </c>
      <c r="E20" s="51">
        <f t="shared" si="1"/>
        <v>4739.17</v>
      </c>
    </row>
    <row r="21" spans="1:5" ht="17.25" customHeight="1">
      <c r="A21" s="17" t="s">
        <v>44</v>
      </c>
      <c r="B21" s="26">
        <v>0</v>
      </c>
      <c r="C21" s="26">
        <v>0</v>
      </c>
      <c r="D21" s="27"/>
      <c r="E21" s="51">
        <f t="shared" si="1"/>
        <v>0</v>
      </c>
    </row>
    <row r="22" spans="1:5" ht="12.75">
      <c r="A22" s="17" t="s">
        <v>45</v>
      </c>
      <c r="B22" s="26">
        <f>SUM(B23)</f>
        <v>0</v>
      </c>
      <c r="C22" s="25">
        <v>0</v>
      </c>
      <c r="D22" s="27" t="str">
        <f t="shared" si="0"/>
        <v>   </v>
      </c>
      <c r="E22" s="51">
        <f t="shared" si="1"/>
        <v>0</v>
      </c>
    </row>
    <row r="23" spans="1:5" ht="13.5" customHeight="1">
      <c r="A23" s="17" t="s">
        <v>276</v>
      </c>
      <c r="B23" s="26">
        <v>0</v>
      </c>
      <c r="C23" s="28">
        <v>0</v>
      </c>
      <c r="D23" s="27" t="str">
        <f t="shared" si="0"/>
        <v>   </v>
      </c>
      <c r="E23" s="51">
        <f t="shared" si="1"/>
        <v>0</v>
      </c>
    </row>
    <row r="24" spans="1:5" ht="14.25" customHeight="1">
      <c r="A24" s="17" t="s">
        <v>160</v>
      </c>
      <c r="B24" s="26">
        <v>0</v>
      </c>
      <c r="C24" s="25">
        <v>0</v>
      </c>
      <c r="D24" s="27" t="str">
        <f t="shared" si="0"/>
        <v>   </v>
      </c>
      <c r="E24" s="51">
        <f t="shared" si="1"/>
        <v>0</v>
      </c>
    </row>
    <row r="25" spans="1:5" ht="15" customHeight="1">
      <c r="A25" s="16" t="s">
        <v>11</v>
      </c>
      <c r="B25" s="50">
        <f>SUM(B7,B9,B11,B14,B15,B18,B19,B21,B22,B24,)</f>
        <v>2363200</v>
      </c>
      <c r="C25" s="50">
        <f>SUM(C7,C9,C11,C14,C15,C18,C19,C21,C22,C24,)</f>
        <v>405402.28</v>
      </c>
      <c r="D25" s="27">
        <f t="shared" si="0"/>
        <v>17.154801963439407</v>
      </c>
      <c r="E25" s="51">
        <f t="shared" si="1"/>
        <v>-1957797.72</v>
      </c>
    </row>
    <row r="26" spans="1:5" ht="15.75" customHeight="1">
      <c r="A26" s="18" t="s">
        <v>47</v>
      </c>
      <c r="B26" s="25">
        <v>1284000</v>
      </c>
      <c r="C26" s="25">
        <v>503500</v>
      </c>
      <c r="D26" s="27">
        <f t="shared" si="0"/>
        <v>39.21339563862929</v>
      </c>
      <c r="E26" s="51">
        <f t="shared" si="1"/>
        <v>-780500</v>
      </c>
    </row>
    <row r="27" spans="1:5" ht="16.5" customHeight="1">
      <c r="A27" s="17" t="s">
        <v>68</v>
      </c>
      <c r="B27" s="26">
        <v>0</v>
      </c>
      <c r="C27" s="28">
        <v>0</v>
      </c>
      <c r="D27" s="27" t="str">
        <f t="shared" si="0"/>
        <v>   </v>
      </c>
      <c r="E27" s="51">
        <f t="shared" si="1"/>
        <v>0</v>
      </c>
    </row>
    <row r="28" spans="1:5" ht="28.5" customHeight="1">
      <c r="A28" s="17" t="s">
        <v>72</v>
      </c>
      <c r="B28" s="26">
        <v>114800</v>
      </c>
      <c r="C28" s="26">
        <v>114800</v>
      </c>
      <c r="D28" s="27">
        <f t="shared" si="0"/>
        <v>100</v>
      </c>
      <c r="E28" s="51">
        <f t="shared" si="1"/>
        <v>0</v>
      </c>
    </row>
    <row r="29" spans="1:5" ht="27" customHeight="1">
      <c r="A29" s="17" t="s">
        <v>73</v>
      </c>
      <c r="B29" s="26">
        <v>200</v>
      </c>
      <c r="C29" s="28">
        <v>0</v>
      </c>
      <c r="D29" s="27">
        <f t="shared" si="0"/>
        <v>0</v>
      </c>
      <c r="E29" s="51">
        <f t="shared" si="1"/>
        <v>-200</v>
      </c>
    </row>
    <row r="30" spans="1:5" ht="29.25" customHeight="1">
      <c r="A30" s="17" t="s">
        <v>203</v>
      </c>
      <c r="B30" s="26">
        <v>0</v>
      </c>
      <c r="C30" s="26">
        <v>0</v>
      </c>
      <c r="D30" s="27" t="str">
        <f t="shared" si="0"/>
        <v>   </v>
      </c>
      <c r="E30" s="51">
        <f t="shared" si="1"/>
        <v>0</v>
      </c>
    </row>
    <row r="31" spans="1:5" ht="12.75" customHeight="1">
      <c r="A31" s="17" t="s">
        <v>83</v>
      </c>
      <c r="B31" s="26">
        <v>448901</v>
      </c>
      <c r="C31" s="26">
        <v>0</v>
      </c>
      <c r="D31" s="27">
        <f t="shared" si="0"/>
        <v>0</v>
      </c>
      <c r="E31" s="51">
        <f t="shared" si="1"/>
        <v>-448901</v>
      </c>
    </row>
    <row r="32" spans="1:5" ht="25.5" customHeight="1">
      <c r="A32" s="17" t="s">
        <v>177</v>
      </c>
      <c r="B32" s="26">
        <v>7500</v>
      </c>
      <c r="C32" s="26">
        <v>0</v>
      </c>
      <c r="D32" s="27">
        <f t="shared" si="0"/>
        <v>0</v>
      </c>
      <c r="E32" s="51">
        <f t="shared" si="1"/>
        <v>-7500</v>
      </c>
    </row>
    <row r="33" spans="1:5" ht="18" customHeight="1">
      <c r="A33" s="17" t="s">
        <v>79</v>
      </c>
      <c r="B33" s="26">
        <f>B34</f>
        <v>418000</v>
      </c>
      <c r="C33" s="26">
        <f>C34</f>
        <v>79616</v>
      </c>
      <c r="D33" s="27">
        <f t="shared" si="0"/>
        <v>19.04688995215311</v>
      </c>
      <c r="E33" s="51">
        <f t="shared" si="1"/>
        <v>-338384</v>
      </c>
    </row>
    <row r="34" spans="1:5" s="7" customFormat="1" ht="14.25" customHeight="1">
      <c r="A34" s="17" t="s">
        <v>216</v>
      </c>
      <c r="B34" s="66">
        <v>418000</v>
      </c>
      <c r="C34" s="26">
        <v>79616</v>
      </c>
      <c r="D34" s="66">
        <f t="shared" si="0"/>
        <v>19.04688995215311</v>
      </c>
      <c r="E34" s="45">
        <f t="shared" si="1"/>
        <v>-338384</v>
      </c>
    </row>
    <row r="35" spans="1:5" ht="39" customHeight="1">
      <c r="A35" s="17" t="s">
        <v>183</v>
      </c>
      <c r="B35" s="26">
        <v>0</v>
      </c>
      <c r="C35" s="26">
        <v>0</v>
      </c>
      <c r="D35" s="27" t="str">
        <f t="shared" si="0"/>
        <v>   </v>
      </c>
      <c r="E35" s="51">
        <f t="shared" si="1"/>
        <v>0</v>
      </c>
    </row>
    <row r="36" spans="1:5" ht="16.5" customHeight="1">
      <c r="A36" s="17" t="s">
        <v>48</v>
      </c>
      <c r="B36" s="26">
        <v>0</v>
      </c>
      <c r="C36" s="28">
        <v>0</v>
      </c>
      <c r="D36" s="27" t="str">
        <f t="shared" si="0"/>
        <v>   </v>
      </c>
      <c r="E36" s="51">
        <f t="shared" si="1"/>
        <v>0</v>
      </c>
    </row>
    <row r="37" spans="1:5" ht="23.25" customHeight="1">
      <c r="A37" s="16" t="s">
        <v>14</v>
      </c>
      <c r="B37" s="25">
        <f>SUM(B25,B26,B27:B33,B35,B36)</f>
        <v>4636601</v>
      </c>
      <c r="C37" s="25">
        <f>SUM(C25,C26,C27:C33,C35,C36)</f>
        <v>1103318.28</v>
      </c>
      <c r="D37" s="27">
        <f t="shared" si="0"/>
        <v>23.79584268734791</v>
      </c>
      <c r="E37" s="51">
        <f t="shared" si="1"/>
        <v>-3533282.7199999997</v>
      </c>
    </row>
    <row r="38" spans="1:5" ht="12.75">
      <c r="A38" s="23" t="s">
        <v>15</v>
      </c>
      <c r="B38" s="53"/>
      <c r="C38" s="54"/>
      <c r="D38" s="27" t="str">
        <f t="shared" si="0"/>
        <v>   </v>
      </c>
      <c r="E38" s="51"/>
    </row>
    <row r="39" spans="1:5" ht="12.75">
      <c r="A39" s="17" t="s">
        <v>49</v>
      </c>
      <c r="B39" s="26">
        <v>782400</v>
      </c>
      <c r="C39" s="26">
        <v>209068.44</v>
      </c>
      <c r="D39" s="27">
        <f t="shared" si="0"/>
        <v>26.721426380368097</v>
      </c>
      <c r="E39" s="51">
        <f t="shared" si="1"/>
        <v>-573331.56</v>
      </c>
    </row>
    <row r="40" spans="1:5" ht="12.75" customHeight="1">
      <c r="A40" s="17" t="s">
        <v>50</v>
      </c>
      <c r="B40" s="26">
        <v>757900</v>
      </c>
      <c r="C40" s="26">
        <v>209068.44</v>
      </c>
      <c r="D40" s="27">
        <f t="shared" si="0"/>
        <v>27.585227602586095</v>
      </c>
      <c r="E40" s="51">
        <f t="shared" si="1"/>
        <v>-548831.56</v>
      </c>
    </row>
    <row r="41" spans="1:5" ht="12.75">
      <c r="A41" s="123" t="s">
        <v>264</v>
      </c>
      <c r="B41" s="26">
        <v>476900</v>
      </c>
      <c r="C41" s="29">
        <v>145006.8</v>
      </c>
      <c r="D41" s="27">
        <f t="shared" si="0"/>
        <v>30.406122876913393</v>
      </c>
      <c r="E41" s="51">
        <f t="shared" si="1"/>
        <v>-331893.2</v>
      </c>
    </row>
    <row r="42" spans="1:5" ht="12.75">
      <c r="A42" s="17" t="s">
        <v>217</v>
      </c>
      <c r="B42" s="26">
        <v>200</v>
      </c>
      <c r="C42" s="29">
        <v>0</v>
      </c>
      <c r="D42" s="27">
        <f t="shared" si="0"/>
        <v>0</v>
      </c>
      <c r="E42" s="51">
        <f t="shared" si="1"/>
        <v>-200</v>
      </c>
    </row>
    <row r="43" spans="1:5" ht="12.75">
      <c r="A43" s="17" t="s">
        <v>169</v>
      </c>
      <c r="B43" s="26">
        <v>500</v>
      </c>
      <c r="C43" s="28">
        <v>0</v>
      </c>
      <c r="D43" s="27">
        <f t="shared" si="0"/>
        <v>0</v>
      </c>
      <c r="E43" s="51">
        <f t="shared" si="1"/>
        <v>-500</v>
      </c>
    </row>
    <row r="44" spans="1:5" ht="12.75">
      <c r="A44" s="17" t="s">
        <v>74</v>
      </c>
      <c r="B44" s="26">
        <f>B45</f>
        <v>24000</v>
      </c>
      <c r="C44" s="26">
        <f>C45</f>
        <v>0</v>
      </c>
      <c r="D44" s="27"/>
      <c r="E44" s="51"/>
    </row>
    <row r="45" spans="1:5" ht="12.75">
      <c r="A45" s="17" t="s">
        <v>93</v>
      </c>
      <c r="B45" s="26">
        <v>24000</v>
      </c>
      <c r="C45" s="28">
        <v>0</v>
      </c>
      <c r="D45" s="27"/>
      <c r="E45" s="51"/>
    </row>
    <row r="46" spans="1:5" ht="12.75">
      <c r="A46" s="17" t="s">
        <v>70</v>
      </c>
      <c r="B46" s="28">
        <f>SUM(B47)</f>
        <v>114800</v>
      </c>
      <c r="C46" s="28">
        <f>SUM(C47)</f>
        <v>33362.33</v>
      </c>
      <c r="D46" s="27">
        <f t="shared" si="0"/>
        <v>29.06126306620209</v>
      </c>
      <c r="E46" s="51">
        <f t="shared" si="1"/>
        <v>-81437.67</v>
      </c>
    </row>
    <row r="47" spans="1:5" ht="12" customHeight="1">
      <c r="A47" s="17" t="s">
        <v>212</v>
      </c>
      <c r="B47" s="26">
        <v>114800</v>
      </c>
      <c r="C47" s="28">
        <v>33362.33</v>
      </c>
      <c r="D47" s="27">
        <f t="shared" si="0"/>
        <v>29.06126306620209</v>
      </c>
      <c r="E47" s="51">
        <f t="shared" si="1"/>
        <v>-81437.67</v>
      </c>
    </row>
    <row r="48" spans="1:5" ht="12.75">
      <c r="A48" s="17" t="s">
        <v>51</v>
      </c>
      <c r="B48" s="26">
        <f>SUM(B49)</f>
        <v>1100</v>
      </c>
      <c r="C48" s="28">
        <f>SUM(C49)</f>
        <v>0</v>
      </c>
      <c r="D48" s="27">
        <f t="shared" si="0"/>
        <v>0</v>
      </c>
      <c r="E48" s="51">
        <f t="shared" si="1"/>
        <v>-1100</v>
      </c>
    </row>
    <row r="49" spans="1:5" ht="12.75" customHeight="1">
      <c r="A49" s="49" t="s">
        <v>154</v>
      </c>
      <c r="B49" s="26">
        <v>1100</v>
      </c>
      <c r="C49" s="28">
        <v>0</v>
      </c>
      <c r="D49" s="27">
        <f t="shared" si="0"/>
        <v>0</v>
      </c>
      <c r="E49" s="51">
        <f t="shared" si="1"/>
        <v>-1100</v>
      </c>
    </row>
    <row r="50" spans="1:5" ht="15.75" customHeight="1">
      <c r="A50" s="17" t="s">
        <v>52</v>
      </c>
      <c r="B50" s="28">
        <v>0</v>
      </c>
      <c r="C50" s="28">
        <v>0</v>
      </c>
      <c r="D50" s="27" t="str">
        <f t="shared" si="0"/>
        <v>   </v>
      </c>
      <c r="E50" s="51">
        <f t="shared" si="1"/>
        <v>0</v>
      </c>
    </row>
    <row r="51" spans="1:5" ht="26.25" customHeight="1">
      <c r="A51" s="17" t="s">
        <v>16</v>
      </c>
      <c r="B51" s="26">
        <f>SUM(B52,B54,B55,)</f>
        <v>1137900</v>
      </c>
      <c r="C51" s="26">
        <f>SUM(C52,C54,C55,)</f>
        <v>245276.49</v>
      </c>
      <c r="D51" s="27">
        <f t="shared" si="0"/>
        <v>21.55518850514105</v>
      </c>
      <c r="E51" s="51">
        <f t="shared" si="1"/>
        <v>-892623.51</v>
      </c>
    </row>
    <row r="52" spans="1:5" ht="12.75">
      <c r="A52" s="17" t="s">
        <v>17</v>
      </c>
      <c r="B52" s="26">
        <f>SUM(B53:B53)</f>
        <v>150000</v>
      </c>
      <c r="C52" s="26">
        <v>30279</v>
      </c>
      <c r="D52" s="27">
        <f t="shared" si="0"/>
        <v>20.186</v>
      </c>
      <c r="E52" s="51">
        <f t="shared" si="1"/>
        <v>-119721</v>
      </c>
    </row>
    <row r="53" spans="1:5" ht="15.75" customHeight="1">
      <c r="A53" s="17" t="s">
        <v>172</v>
      </c>
      <c r="B53" s="26">
        <v>150000</v>
      </c>
      <c r="C53" s="28">
        <v>30279</v>
      </c>
      <c r="D53" s="27">
        <f t="shared" si="0"/>
        <v>20.186</v>
      </c>
      <c r="E53" s="51">
        <f t="shared" si="1"/>
        <v>-119721</v>
      </c>
    </row>
    <row r="54" spans="1:5" ht="12.75">
      <c r="A54" s="17" t="s">
        <v>155</v>
      </c>
      <c r="B54" s="26">
        <v>0</v>
      </c>
      <c r="C54" s="28">
        <v>0</v>
      </c>
      <c r="D54" s="27" t="str">
        <f t="shared" si="0"/>
        <v>   </v>
      </c>
      <c r="E54" s="51">
        <f t="shared" si="1"/>
        <v>0</v>
      </c>
    </row>
    <row r="55" spans="1:5" ht="12.75">
      <c r="A55" s="17" t="s">
        <v>100</v>
      </c>
      <c r="B55" s="26">
        <v>987900</v>
      </c>
      <c r="C55" s="26">
        <v>214997.49</v>
      </c>
      <c r="D55" s="27">
        <f t="shared" si="0"/>
        <v>21.763082295778922</v>
      </c>
      <c r="E55" s="51">
        <f t="shared" si="1"/>
        <v>-772902.51</v>
      </c>
    </row>
    <row r="56" spans="1:5" ht="12.75">
      <c r="A56" s="17" t="s">
        <v>85</v>
      </c>
      <c r="B56" s="26">
        <v>180000</v>
      </c>
      <c r="C56" s="28">
        <v>91097.49</v>
      </c>
      <c r="D56" s="27">
        <f t="shared" si="0"/>
        <v>50.60971666666667</v>
      </c>
      <c r="E56" s="51">
        <f t="shared" si="1"/>
        <v>-88902.51</v>
      </c>
    </row>
    <row r="57" spans="1:5" ht="12.75">
      <c r="A57" s="17" t="s">
        <v>139</v>
      </c>
      <c r="B57" s="26">
        <v>418000</v>
      </c>
      <c r="C57" s="28">
        <v>61950</v>
      </c>
      <c r="D57" s="27">
        <f t="shared" si="0"/>
        <v>14.820574162679426</v>
      </c>
      <c r="E57" s="51">
        <f t="shared" si="1"/>
        <v>-356050</v>
      </c>
    </row>
    <row r="58" spans="1:5" ht="12.75">
      <c r="A58" s="17" t="s">
        <v>140</v>
      </c>
      <c r="B58" s="26">
        <v>270000</v>
      </c>
      <c r="C58" s="28">
        <v>61950</v>
      </c>
      <c r="D58" s="27">
        <f t="shared" si="0"/>
        <v>22.944444444444446</v>
      </c>
      <c r="E58" s="51">
        <f t="shared" si="1"/>
        <v>-208050</v>
      </c>
    </row>
    <row r="59" spans="1:5" ht="12.75">
      <c r="A59" s="17" t="s">
        <v>86</v>
      </c>
      <c r="B59" s="26">
        <v>119900</v>
      </c>
      <c r="C59" s="28">
        <v>0</v>
      </c>
      <c r="D59" s="27">
        <f t="shared" si="0"/>
        <v>0</v>
      </c>
      <c r="E59" s="51">
        <f t="shared" si="1"/>
        <v>-119900</v>
      </c>
    </row>
    <row r="60" spans="1:5" ht="15">
      <c r="A60" s="19" t="s">
        <v>25</v>
      </c>
      <c r="B60" s="32">
        <v>20000</v>
      </c>
      <c r="C60" s="32">
        <v>1175</v>
      </c>
      <c r="D60" s="27">
        <f t="shared" si="0"/>
        <v>5.875</v>
      </c>
      <c r="E60" s="51">
        <f t="shared" si="1"/>
        <v>-18825</v>
      </c>
    </row>
    <row r="61" spans="1:5" ht="12.75">
      <c r="A61" s="17" t="s">
        <v>55</v>
      </c>
      <c r="B61" s="25">
        <f>SUM(B62,)</f>
        <v>2249700</v>
      </c>
      <c r="C61" s="25">
        <f>SUM(C62,)</f>
        <v>774786.3</v>
      </c>
      <c r="D61" s="27">
        <f t="shared" si="0"/>
        <v>34.439538605147355</v>
      </c>
      <c r="E61" s="51">
        <f t="shared" si="1"/>
        <v>-1474913.7</v>
      </c>
    </row>
    <row r="62" spans="1:5" ht="17.25" customHeight="1">
      <c r="A62" s="17" t="s">
        <v>56</v>
      </c>
      <c r="B62" s="26">
        <v>2249700</v>
      </c>
      <c r="C62" s="28">
        <v>774786.3</v>
      </c>
      <c r="D62" s="27">
        <f t="shared" si="0"/>
        <v>34.439538605147355</v>
      </c>
      <c r="E62" s="51">
        <f t="shared" si="1"/>
        <v>-1474913.7</v>
      </c>
    </row>
    <row r="63" spans="1:5" ht="15.75" customHeight="1">
      <c r="A63" s="123" t="s">
        <v>264</v>
      </c>
      <c r="B63" s="26">
        <v>890200</v>
      </c>
      <c r="C63" s="28">
        <v>324169.73</v>
      </c>
      <c r="D63" s="27">
        <f t="shared" si="0"/>
        <v>36.41538193664345</v>
      </c>
      <c r="E63" s="51">
        <f t="shared" si="1"/>
        <v>-566030.27</v>
      </c>
    </row>
    <row r="64" spans="1:5" ht="12.75">
      <c r="A64" s="17" t="s">
        <v>213</v>
      </c>
      <c r="B64" s="26">
        <v>7500</v>
      </c>
      <c r="C64" s="28">
        <v>0</v>
      </c>
      <c r="D64" s="27">
        <f t="shared" si="0"/>
        <v>0</v>
      </c>
      <c r="E64" s="51">
        <f t="shared" si="1"/>
        <v>-7500</v>
      </c>
    </row>
    <row r="65" spans="1:5" ht="12.75">
      <c r="A65" s="17" t="s">
        <v>271</v>
      </c>
      <c r="B65" s="26">
        <f>SUM(B66,)</f>
        <v>20000</v>
      </c>
      <c r="C65" s="26">
        <f>SUM(C66,)</f>
        <v>9000</v>
      </c>
      <c r="D65" s="27">
        <f t="shared" si="0"/>
        <v>45</v>
      </c>
      <c r="E65" s="51">
        <f t="shared" si="1"/>
        <v>-11000</v>
      </c>
    </row>
    <row r="66" spans="1:5" ht="12.75" customHeight="1">
      <c r="A66" s="17" t="s">
        <v>57</v>
      </c>
      <c r="B66" s="26">
        <v>20000</v>
      </c>
      <c r="C66" s="29">
        <v>9000</v>
      </c>
      <c r="D66" s="27">
        <f t="shared" si="0"/>
        <v>45</v>
      </c>
      <c r="E66" s="51">
        <f t="shared" si="1"/>
        <v>-11000</v>
      </c>
    </row>
    <row r="67" spans="1:5" ht="12.75">
      <c r="A67" s="17" t="s">
        <v>18</v>
      </c>
      <c r="B67" s="26">
        <f>B68</f>
        <v>640701</v>
      </c>
      <c r="C67" s="26">
        <f>C68</f>
        <v>0</v>
      </c>
      <c r="D67" s="27">
        <f t="shared" si="0"/>
        <v>0</v>
      </c>
      <c r="E67" s="51">
        <f t="shared" si="1"/>
        <v>-640701</v>
      </c>
    </row>
    <row r="68" spans="1:5" ht="12.75">
      <c r="A68" s="17" t="s">
        <v>281</v>
      </c>
      <c r="B68" s="26">
        <f>SUM(B89,B82,B73,B69)</f>
        <v>640701</v>
      </c>
      <c r="C68" s="26">
        <f>SUM(C89,C82,C73,C69)</f>
        <v>0</v>
      </c>
      <c r="D68" s="27"/>
      <c r="E68" s="51"/>
    </row>
    <row r="69" spans="1:5" ht="12.75">
      <c r="A69" s="126" t="s">
        <v>181</v>
      </c>
      <c r="B69" s="127">
        <v>0</v>
      </c>
      <c r="C69" s="127">
        <v>0</v>
      </c>
      <c r="D69" s="27" t="str">
        <f t="shared" si="0"/>
        <v>   </v>
      </c>
      <c r="E69" s="51">
        <f t="shared" si="1"/>
        <v>0</v>
      </c>
    </row>
    <row r="70" spans="1:5" ht="12.75">
      <c r="A70" s="17" t="s">
        <v>201</v>
      </c>
      <c r="B70" s="26">
        <f>B71+B72</f>
        <v>0</v>
      </c>
      <c r="C70" s="26">
        <f>C71+C72</f>
        <v>0</v>
      </c>
      <c r="D70" s="27" t="str">
        <f t="shared" si="0"/>
        <v>   </v>
      </c>
      <c r="E70" s="51">
        <f t="shared" si="1"/>
        <v>0</v>
      </c>
    </row>
    <row r="71" spans="1:5" ht="12.75">
      <c r="A71" s="17" t="s">
        <v>108</v>
      </c>
      <c r="B71" s="26">
        <v>0</v>
      </c>
      <c r="C71" s="26">
        <v>0</v>
      </c>
      <c r="D71" s="27" t="str">
        <f>IF(B71=0,"   ",C71/B71*100)</f>
        <v>   </v>
      </c>
      <c r="E71" s="51">
        <f t="shared" si="1"/>
        <v>0</v>
      </c>
    </row>
    <row r="72" spans="1:5" ht="12.75">
      <c r="A72" s="17" t="s">
        <v>120</v>
      </c>
      <c r="B72" s="26">
        <v>0</v>
      </c>
      <c r="C72" s="26">
        <v>0</v>
      </c>
      <c r="D72" s="27" t="str">
        <f>IF(B72=0,"   ",C72/B72*100)</f>
        <v>   </v>
      </c>
      <c r="E72" s="51">
        <f t="shared" si="1"/>
        <v>0</v>
      </c>
    </row>
    <row r="73" spans="1:5" ht="12.75">
      <c r="A73" s="126" t="s">
        <v>279</v>
      </c>
      <c r="B73" s="127">
        <f>SUM(B74,B78)</f>
        <v>152000</v>
      </c>
      <c r="C73" s="127">
        <f>SUM(C74,C78)</f>
        <v>0</v>
      </c>
      <c r="D73" s="27">
        <f>IF(B73=0,"   ",C73/B73*100)</f>
        <v>0</v>
      </c>
      <c r="E73" s="51">
        <f t="shared" si="1"/>
        <v>-152000</v>
      </c>
    </row>
    <row r="74" spans="1:5" ht="12.75">
      <c r="A74" s="17" t="s">
        <v>284</v>
      </c>
      <c r="B74" s="26">
        <f>SUM(B75:B77)</f>
        <v>152000</v>
      </c>
      <c r="C74" s="26">
        <f>SUM(C75:C77)</f>
        <v>0</v>
      </c>
      <c r="D74" s="27">
        <f>IF(B74=0,"   ",C74/B74*100)</f>
        <v>0</v>
      </c>
      <c r="E74" s="51">
        <f>C74-B74</f>
        <v>-152000</v>
      </c>
    </row>
    <row r="75" spans="1:5" ht="18" customHeight="1">
      <c r="A75" s="49" t="s">
        <v>292</v>
      </c>
      <c r="B75" s="26">
        <v>0</v>
      </c>
      <c r="C75" s="28"/>
      <c r="D75" s="27" t="str">
        <f aca="true" t="shared" si="2" ref="D75:D92">IF(B75=0,"   ",C75/B75*100)</f>
        <v>   </v>
      </c>
      <c r="E75" s="51">
        <f aca="true" t="shared" si="3" ref="E75:E92">C75-B75</f>
        <v>0</v>
      </c>
    </row>
    <row r="76" spans="1:5" ht="13.5" customHeight="1">
      <c r="A76" s="49" t="s">
        <v>293</v>
      </c>
      <c r="B76" s="26">
        <v>0</v>
      </c>
      <c r="C76" s="28"/>
      <c r="D76" s="27" t="str">
        <f t="shared" si="2"/>
        <v>   </v>
      </c>
      <c r="E76" s="51">
        <f t="shared" si="3"/>
        <v>0</v>
      </c>
    </row>
    <row r="77" spans="1:5" ht="13.5" customHeight="1">
      <c r="A77" s="49" t="s">
        <v>294</v>
      </c>
      <c r="B77" s="26">
        <v>152000</v>
      </c>
      <c r="C77" s="28"/>
      <c r="D77" s="27">
        <f t="shared" si="2"/>
        <v>0</v>
      </c>
      <c r="E77" s="51">
        <f t="shared" si="3"/>
        <v>-152000</v>
      </c>
    </row>
    <row r="78" spans="1:5" ht="13.5" customHeight="1">
      <c r="A78" s="17" t="s">
        <v>283</v>
      </c>
      <c r="B78" s="26">
        <f>SUM(B79:B81)</f>
        <v>0</v>
      </c>
      <c r="C78" s="26">
        <f>SUM(C79:C81)</f>
        <v>0</v>
      </c>
      <c r="D78" s="27" t="str">
        <f t="shared" si="2"/>
        <v>   </v>
      </c>
      <c r="E78" s="51">
        <f t="shared" si="3"/>
        <v>0</v>
      </c>
    </row>
    <row r="79" spans="1:5" ht="13.5" customHeight="1">
      <c r="A79" s="49" t="s">
        <v>292</v>
      </c>
      <c r="B79" s="26">
        <v>0</v>
      </c>
      <c r="C79" s="28"/>
      <c r="D79" s="27" t="str">
        <f t="shared" si="2"/>
        <v>   </v>
      </c>
      <c r="E79" s="51">
        <f t="shared" si="3"/>
        <v>0</v>
      </c>
    </row>
    <row r="80" spans="1:5" ht="16.5" customHeight="1">
      <c r="A80" s="49" t="s">
        <v>293</v>
      </c>
      <c r="B80" s="26">
        <v>0</v>
      </c>
      <c r="C80" s="28"/>
      <c r="D80" s="27" t="str">
        <f t="shared" si="2"/>
        <v>   </v>
      </c>
      <c r="E80" s="51">
        <f t="shared" si="3"/>
        <v>0</v>
      </c>
    </row>
    <row r="81" spans="1:5" ht="16.5" customHeight="1">
      <c r="A81" s="49" t="s">
        <v>294</v>
      </c>
      <c r="B81" s="26">
        <v>0</v>
      </c>
      <c r="C81" s="28"/>
      <c r="D81" s="27" t="str">
        <f t="shared" si="2"/>
        <v>   </v>
      </c>
      <c r="E81" s="51">
        <f t="shared" si="3"/>
        <v>0</v>
      </c>
    </row>
    <row r="82" spans="1:5" ht="16.5" customHeight="1">
      <c r="A82" s="126" t="s">
        <v>280</v>
      </c>
      <c r="B82" s="127">
        <f>SUM(B83,B86)</f>
        <v>0</v>
      </c>
      <c r="C82" s="127">
        <f>SUM(C83,C86)</f>
        <v>0</v>
      </c>
      <c r="D82" s="27" t="str">
        <f t="shared" si="2"/>
        <v>   </v>
      </c>
      <c r="E82" s="51">
        <f t="shared" si="3"/>
        <v>0</v>
      </c>
    </row>
    <row r="83" spans="1:5" ht="16.5" customHeight="1">
      <c r="A83" s="17" t="s">
        <v>284</v>
      </c>
      <c r="B83" s="26">
        <f>SUM(B84:B85)</f>
        <v>0</v>
      </c>
      <c r="C83" s="26">
        <f>SUM(C84:C85)</f>
        <v>0</v>
      </c>
      <c r="D83" s="27" t="str">
        <f t="shared" si="2"/>
        <v>   </v>
      </c>
      <c r="E83" s="51">
        <f t="shared" si="3"/>
        <v>0</v>
      </c>
    </row>
    <row r="84" spans="1:5" ht="12.75">
      <c r="A84" s="49" t="s">
        <v>293</v>
      </c>
      <c r="B84" s="26">
        <v>0</v>
      </c>
      <c r="C84" s="28"/>
      <c r="D84" s="27" t="str">
        <f t="shared" si="2"/>
        <v>   </v>
      </c>
      <c r="E84" s="51">
        <f t="shared" si="3"/>
        <v>0</v>
      </c>
    </row>
    <row r="85" spans="1:5" ht="12.75">
      <c r="A85" s="49" t="s">
        <v>294</v>
      </c>
      <c r="B85" s="26">
        <v>0</v>
      </c>
      <c r="C85" s="28"/>
      <c r="D85" s="27" t="str">
        <f t="shared" si="2"/>
        <v>   </v>
      </c>
      <c r="E85" s="51">
        <f t="shared" si="3"/>
        <v>0</v>
      </c>
    </row>
    <row r="86" spans="1:5" ht="12.75">
      <c r="A86" s="17" t="s">
        <v>283</v>
      </c>
      <c r="B86" s="26">
        <f>SUM(B87:B88)</f>
        <v>0</v>
      </c>
      <c r="C86" s="26">
        <f>SUM(C87:C88)</f>
        <v>0</v>
      </c>
      <c r="D86" s="27" t="str">
        <f t="shared" si="2"/>
        <v>   </v>
      </c>
      <c r="E86" s="51">
        <f t="shared" si="3"/>
        <v>0</v>
      </c>
    </row>
    <row r="87" spans="1:5" ht="12.75">
      <c r="A87" s="49" t="s">
        <v>293</v>
      </c>
      <c r="B87" s="26">
        <v>0</v>
      </c>
      <c r="C87" s="28"/>
      <c r="D87" s="27" t="str">
        <f t="shared" si="2"/>
        <v>   </v>
      </c>
      <c r="E87" s="51">
        <f t="shared" si="3"/>
        <v>0</v>
      </c>
    </row>
    <row r="88" spans="1:5" ht="12.75">
      <c r="A88" s="49" t="s">
        <v>294</v>
      </c>
      <c r="B88" s="26">
        <v>0</v>
      </c>
      <c r="C88" s="28"/>
      <c r="D88" s="27" t="str">
        <f t="shared" si="2"/>
        <v>   </v>
      </c>
      <c r="E88" s="51">
        <f t="shared" si="3"/>
        <v>0</v>
      </c>
    </row>
    <row r="89" spans="1:5" ht="12.75">
      <c r="A89" s="126" t="s">
        <v>291</v>
      </c>
      <c r="B89" s="127">
        <f>SUM(B90:B92)</f>
        <v>488701</v>
      </c>
      <c r="C89" s="127">
        <f>SUM(C90:C92)</f>
        <v>0</v>
      </c>
      <c r="D89" s="27">
        <f t="shared" si="2"/>
        <v>0</v>
      </c>
      <c r="E89" s="51">
        <f t="shared" si="3"/>
        <v>-488701</v>
      </c>
    </row>
    <row r="90" spans="1:5" ht="12.75">
      <c r="A90" s="49" t="s">
        <v>292</v>
      </c>
      <c r="B90" s="127">
        <v>0</v>
      </c>
      <c r="C90" s="127">
        <v>0</v>
      </c>
      <c r="D90" s="27" t="str">
        <f t="shared" si="2"/>
        <v>   </v>
      </c>
      <c r="E90" s="51">
        <f t="shared" si="3"/>
        <v>0</v>
      </c>
    </row>
    <row r="91" spans="1:5" ht="19.5" customHeight="1">
      <c r="A91" s="49" t="s">
        <v>293</v>
      </c>
      <c r="B91" s="127">
        <v>448901</v>
      </c>
      <c r="C91" s="127">
        <v>0</v>
      </c>
      <c r="D91" s="27">
        <f t="shared" si="2"/>
        <v>0</v>
      </c>
      <c r="E91" s="51">
        <f t="shared" si="3"/>
        <v>-448901</v>
      </c>
    </row>
    <row r="92" spans="1:5" ht="19.5" customHeight="1">
      <c r="A92" s="49" t="s">
        <v>294</v>
      </c>
      <c r="B92" s="121">
        <v>39800</v>
      </c>
      <c r="C92" s="127">
        <v>0</v>
      </c>
      <c r="D92" s="27">
        <f t="shared" si="2"/>
        <v>0</v>
      </c>
      <c r="E92" s="51">
        <f t="shared" si="3"/>
        <v>-39800</v>
      </c>
    </row>
    <row r="93" spans="1:5" ht="19.5" customHeight="1">
      <c r="A93" s="16" t="s">
        <v>19</v>
      </c>
      <c r="B93" s="25">
        <f>SUM(B39,B46,B48,B50,B51,B60,B61,B65,B67,)</f>
        <v>4966601</v>
      </c>
      <c r="C93" s="25">
        <f>SUM(C39,C46,C48,C50,C51,C60,C61,C65,C67,)</f>
        <v>1272668.56</v>
      </c>
      <c r="D93" s="27">
        <f>IF(B93=0,"   ",C93/B93*100)</f>
        <v>25.624537988857977</v>
      </c>
      <c r="E93" s="51">
        <f t="shared" si="1"/>
        <v>-3693932.44</v>
      </c>
    </row>
    <row r="94" spans="1:5" ht="19.5" customHeight="1" thickBot="1">
      <c r="A94" s="100" t="s">
        <v>267</v>
      </c>
      <c r="B94" s="101">
        <f>B41+B63</f>
        <v>1367100</v>
      </c>
      <c r="C94" s="101">
        <f>C41+C63</f>
        <v>469176.52999999997</v>
      </c>
      <c r="D94" s="102">
        <f>IF(B94=0,"   ",C94/B94*100)</f>
        <v>34.319108331504644</v>
      </c>
      <c r="E94" s="103">
        <f t="shared" si="1"/>
        <v>-897923.47</v>
      </c>
    </row>
    <row r="95" spans="1:5" ht="18" customHeight="1">
      <c r="A95" s="67" t="s">
        <v>21</v>
      </c>
      <c r="B95" s="67"/>
      <c r="C95" s="142"/>
      <c r="D95" s="142"/>
      <c r="E95" s="142"/>
    </row>
    <row r="96" spans="1:5" ht="15.75" customHeight="1">
      <c r="A96" s="67" t="s">
        <v>65</v>
      </c>
      <c r="B96" s="67"/>
      <c r="C96" s="68" t="s">
        <v>66</v>
      </c>
      <c r="D96" s="69"/>
      <c r="E96" s="70"/>
    </row>
    <row r="97" spans="1:5" ht="15" customHeight="1">
      <c r="A97" s="7"/>
      <c r="B97" s="7"/>
      <c r="C97" s="6"/>
      <c r="D97" s="7"/>
      <c r="E97" s="2"/>
    </row>
    <row r="98" spans="1:5" ht="12" customHeight="1">
      <c r="A98" s="67"/>
      <c r="B98" s="67"/>
      <c r="C98" s="68"/>
      <c r="D98" s="69"/>
      <c r="E98" s="70"/>
    </row>
    <row r="99" spans="1:5" ht="12.75">
      <c r="A99" s="7"/>
      <c r="B99" s="7"/>
      <c r="C99" s="6"/>
      <c r="D99" s="7"/>
      <c r="E99" s="2"/>
    </row>
    <row r="100" spans="1:5" ht="12.75">
      <c r="A100" s="7"/>
      <c r="B100" s="7"/>
      <c r="C100" s="6"/>
      <c r="D100" s="7"/>
      <c r="E100" s="2"/>
    </row>
    <row r="101" spans="1:5" ht="12.75">
      <c r="A101" s="7"/>
      <c r="B101" s="7"/>
      <c r="C101" s="6"/>
      <c r="D101" s="7"/>
      <c r="E101" s="2"/>
    </row>
    <row r="102" spans="1:5" ht="12.75">
      <c r="A102" s="7"/>
      <c r="B102" s="7"/>
      <c r="C102" s="6"/>
      <c r="D102" s="7"/>
      <c r="E102" s="2"/>
    </row>
  </sheetData>
  <mergeCells count="2">
    <mergeCell ref="A1:E1"/>
    <mergeCell ref="C95:E95"/>
  </mergeCells>
  <printOptions/>
  <pageMargins left="0.7874015748031497" right="0.7874015748031497" top="0.5118110236220472" bottom="0.4724409448818898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Аля</cp:lastModifiedBy>
  <cp:lastPrinted>2011-06-09T10:13:18Z</cp:lastPrinted>
  <dcterms:created xsi:type="dcterms:W3CDTF">2001-03-21T05:21:19Z</dcterms:created>
  <dcterms:modified xsi:type="dcterms:W3CDTF">2011-06-09T11:01:34Z</dcterms:modified>
  <cp:category/>
  <cp:version/>
  <cp:contentType/>
  <cp:contentStatus/>
</cp:coreProperties>
</file>