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724" activeTab="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сводная" sheetId="11" r:id="rId11"/>
  </sheets>
  <definedNames>
    <definedName name="_xlnm.Print_Area" localSheetId="0">'Лист1'!$A$1:$E$112</definedName>
  </definedNames>
  <calcPr fullCalcOnLoad="1"/>
</workbook>
</file>

<file path=xl/sharedStrings.xml><?xml version="1.0" encoding="utf-8"?>
<sst xmlns="http://schemas.openxmlformats.org/spreadsheetml/2006/main" count="1091" uniqueCount="317">
  <si>
    <t>/ в руб. /</t>
  </si>
  <si>
    <t>Наименование показателя</t>
  </si>
  <si>
    <t xml:space="preserve">ДОХОДЫ </t>
  </si>
  <si>
    <t>из них: Налог на прибыль</t>
  </si>
  <si>
    <t>НАЛОГИ НА ТОВАРЫ И УСЛУГИ, лицензионные и регистрационные сборы</t>
  </si>
  <si>
    <t>из них: Лицензионные и регистрационные сборы</t>
  </si>
  <si>
    <t>Налог с продаж</t>
  </si>
  <si>
    <t>НАЛОГИ НА СОВОКУПНЫЙ ДОХОД</t>
  </si>
  <si>
    <t>из них: Единый налог на совокупный доход субьектов малого предпринимательства</t>
  </si>
  <si>
    <t>НАЛОГИ НА ИМУЩЕСТВО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</si>
  <si>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</si>
  <si>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</si>
  <si>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</si>
  <si>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</si>
  <si>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в том числе: Жилищное хозяйство</t>
  </si>
  <si>
    <t>ВСЕГО РАСХОДОВ</t>
  </si>
  <si>
    <t>НЕНАЛОГОВЫЕ ДОХОДЫ - всего</t>
  </si>
  <si>
    <t>ОХРАНА ОКРУЖАЮЩЕЙ СРЕДЫ</t>
  </si>
  <si>
    <t xml:space="preserve">           капремонт    </t>
  </si>
  <si>
    <t>СУБВЕНЦИИ</t>
  </si>
  <si>
    <t>Прочие неналоговые доходы</t>
  </si>
  <si>
    <t>Справочно:</t>
  </si>
  <si>
    <t xml:space="preserve">             Резервный фонд</t>
  </si>
  <si>
    <t xml:space="preserve">             Выдано бюджетных кредитов</t>
  </si>
  <si>
    <t>АКЦИЗЫ ПО ПОДАКЦИЗН,ТОВАРАМ</t>
  </si>
  <si>
    <t xml:space="preserve"> ДОХОДЫ - всего</t>
  </si>
  <si>
    <t>Единый сельскохозяйственный налог</t>
  </si>
  <si>
    <t>Налоги на имущество физических лиц</t>
  </si>
  <si>
    <t>ДОХОДЫ ОТ ИСПОЛЬЗОВАНИЯ ИМУЩЕСТВА,НАХОДЯЩЕГОСЯ В ГОСУДАРСТВЕННОЙ И МУНИЦИПАЛЬНОЙ СОБСТВЕННОСТИ</t>
  </si>
  <si>
    <t>арендная плата за земли</t>
  </si>
  <si>
    <t>доходы от сдачи в аренду имущества,находящегося в оперативном управлении органов местного самоуправления</t>
  </si>
  <si>
    <t>ШТРАФЫ, САНКЦИИ,ВОЗМЕЩЕНИЕ УЩЕРБА</t>
  </si>
  <si>
    <t>ПРОЧИЕ НЕНАЛОГОВЫЕ ДОХОДЫ</t>
  </si>
  <si>
    <t>БЕЗВОЗМЕЗДНЫЕ ПОСТУПЛЕНИЯ</t>
  </si>
  <si>
    <t>ДОТАЦИИ НА ВЫРАВНИВАНИЕ УРОВНЯ БЮДЖЕТНОЙ ОБЕСПЕЧЕННОСТИ</t>
  </si>
  <si>
    <t>ОБЩЕГОСУДАРСТВЕННЫЕ ВОПРОСЫ</t>
  </si>
  <si>
    <t>Функционирование местных администраций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</si>
  <si>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</si>
  <si>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</si>
  <si>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</si>
  <si>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Убытки жилфонда</t>
  </si>
  <si>
    <t>КУЛЬТУРА,КИНЕМАТОГРАФИЯ,СРЕДСТВА МАССОВОЙ ИНФОРМАЦИИ</t>
  </si>
  <si>
    <t xml:space="preserve">     Культура</t>
  </si>
  <si>
    <t xml:space="preserve">    Спорт и физическая культура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</si>
  <si>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</si>
  <si>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</si>
  <si>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</si>
  <si>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</si>
  <si>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>ИСТОЧНИКИ ФИНАНСИРОВАНИЯ ДЕФИЦИТОВ БЮДЖЕТОВ</t>
  </si>
  <si>
    <t>НАЦИОНАЛЬНАЯ ОБОРОНА</t>
  </si>
  <si>
    <t xml:space="preserve">Прочие  неналоговые  доходы  бюджетов  поселений  </t>
  </si>
  <si>
    <t>СУБВЕНЦИИ БЮДЖЕТАМ ПОСЕЛЕНИЙ НА ОСУЩЕСТВЛЕНИЕ ПОЛНОМОЧИЙ ПО ПЕРВИЧНОМУ ВОИНСКОМУ УЧЕТУ НА ТЕРРИТОРИЯХ,ГДЕ ОТСУТСТВУЮТ ВОЕННЫЕ КОМИССАРИАТЫ</t>
  </si>
  <si>
    <t>Другие общегосударственные вопросы</t>
  </si>
  <si>
    <t>Другие общегосударственные  вопросы</t>
  </si>
  <si>
    <t>ПРОЧИЕ  СУБСИДИИ  БЮДЖЕТАМ ПОСЕЛЕНИЙ</t>
  </si>
  <si>
    <t>ПРОЧИЕ  СУБСИДИИ БЮДЖЕТАМ  ПОСЕЛЕНИЙ</t>
  </si>
  <si>
    <t>из них: уличное освещение</t>
  </si>
  <si>
    <t xml:space="preserve">            прочие мероприятия по благоустройству</t>
  </si>
  <si>
    <t>в том числе: Благоустройство</t>
  </si>
  <si>
    <t xml:space="preserve">           прочие мероприятия по благоустройству</t>
  </si>
  <si>
    <t>из них: уличное  освещение</t>
  </si>
  <si>
    <t xml:space="preserve">           прочие  мероприятия по  благоустройству</t>
  </si>
  <si>
    <t>из них:уличное  освещение</t>
  </si>
  <si>
    <t>в том  числе : Благоустройство</t>
  </si>
  <si>
    <t>в  том  числе :Коммунальное хозяйство</t>
  </si>
  <si>
    <t>из  них :уличное  освещение</t>
  </si>
  <si>
    <t xml:space="preserve">             озеленение</t>
  </si>
  <si>
    <t xml:space="preserve">             организация и содержание  мест захоронения</t>
  </si>
  <si>
    <t xml:space="preserve">             прочие мероприятия по благоустройству</t>
  </si>
  <si>
    <t>в том  числе :Благоустройство</t>
  </si>
  <si>
    <t>в  том  числе : Коммунальное хозяйство</t>
  </si>
  <si>
    <t>из них: дотация на возмещение убытков ЖКХ</t>
  </si>
  <si>
    <t>В том числе : Благоустройство</t>
  </si>
  <si>
    <t xml:space="preserve">            озеленение</t>
  </si>
  <si>
    <t xml:space="preserve">            организация и содержание  мест  захоронения</t>
  </si>
  <si>
    <t xml:space="preserve">            прочие  мероприятия по  благоустройству</t>
  </si>
  <si>
    <t>ДОХОДЫ ОТ ПРОДАЖИ  МАТЕРИАЛЬНЫХ  И  НЕМАТЕРИАЛЬНЫХ АКТИВОВ</t>
  </si>
  <si>
    <t>доходы от  продажи  земельных участков , государственная собственность  на  которые не разграничена и которые  расположены в границах  поселений</t>
  </si>
  <si>
    <t>ДОХОДЫ ОТ ПРОДАЖИ  МАТЕРИАЛЬНЫХ И НЕМАТЕРИАЛЬНЫХ АКТИВОВ</t>
  </si>
  <si>
    <t>доходы от продажи земельных участков, государственная собственность на которые не разграничена  и которые расположены в границах поселений</t>
  </si>
  <si>
    <t xml:space="preserve">ПРОЧИЕ  СУБСИДИИ БЮДЖЕТАМ  ПОСЕЛЕНИЙ </t>
  </si>
  <si>
    <t xml:space="preserve">ПРОЧИЕ  СУБСИДИИ БЮДЖЕТАМ ПОСЕЛЕНИЙ </t>
  </si>
  <si>
    <t xml:space="preserve">ПРОЧИЕ  СУБСИДИИ  БЮДЖЕТАМ  ПОСЕЛЕНИЙ </t>
  </si>
  <si>
    <t>ДОХОДЫ ОТ ОКАЗАНИЯ ПЛАТНЫХ УСЛУГ И КОМПЕНСАЦИИ ЗАТРАТ ГОСУДАРСТВА</t>
  </si>
  <si>
    <t>Прочие доходы  от оказания платных услуг  получателями средств бюджетов  поселений и компенсации  затрат государства бюджетов поселений</t>
  </si>
  <si>
    <t>в  том  числе :Жилищное хозяйство</t>
  </si>
  <si>
    <t>Защита населения и территории  от последствий    чрезвычайных  ситуаций  природного и техногенного характера, гражданская оборона</t>
  </si>
  <si>
    <t>Защита населения и территории  от  последствий    чрезвычайных  ситуаций природного и техногенного характера, гражданская оборона</t>
  </si>
  <si>
    <t>ЗАДОЛЖЕННОСТЬ И ПЕРЕРАСЧЕТЫ ПО ОТМЕНЕННЫМ НАЛОГАМ, СБОРАМ И ИНЫМ ОБЯЗАТЕЛЬНЫМ ПЛАТЕЖАМ</t>
  </si>
  <si>
    <t>ЗАДОЛЖЕННОСТЬ И ПЕРЕРАСЧЕТЫ ПО ОТМЕНЕННЫМ  НАЛОГАМ, СБОРАМ И ИНЫМ ОБЯЗАТЕЛЬНЫМ ПЛАТЕЖАМ</t>
  </si>
  <si>
    <t>МЕЖБЮДЖЕТНЫЕ ТРАНСФЕРТЫ, ПЕРЕДАВАЕМЫЕ  БЮДЖЕТАМ  ПОСЕЛЕНИЙ ДЛЯ КОМПЕНСАЦИИ ДОПОЛНИТЕЛЬНЫХ РАСХОДОВ, ВОЗНИКШИХ В РЕЗУЛЬТАТЕ РЕШЕНИЙ, ПРИНЯТЫХ ОРГАНАМИ ВЛАСТИ  ДРУГОГО УРОВНЯ</t>
  </si>
  <si>
    <t>в том числе: Коммунальное хозяйство</t>
  </si>
  <si>
    <t>ДОХОДЫ ОТ ОКАЗАНИЯ  ПЛАТНЫХ  УСЛУГ  И  КОМПЕНСАЦИИ  ЗАТРАТ  ГОСУДАРСТВА</t>
  </si>
  <si>
    <t>из них: капремонт  жилфонда</t>
  </si>
  <si>
    <t>ЗАДОЛЖЕННОСТЬ  И  ПЕРЕРАСЧЕТЫ  ПО  ОТМЕНЕНЫМ НАЛОГАМ, СБОРАМ И ИНЫМ ОБЯЗАТЕЛЬНЫМ ПЛАТЕЖАМ</t>
  </si>
  <si>
    <t xml:space="preserve">          реализ.дополн. меропр.,направл.на снижение напряжен.на рынке труда</t>
  </si>
  <si>
    <t>Резервные фонды</t>
  </si>
  <si>
    <t xml:space="preserve">В том числе:Содержание аварийно-спасательного  звена </t>
  </si>
  <si>
    <t xml:space="preserve">                     Обеспечение противопожарной деятельности</t>
  </si>
  <si>
    <t>из них: капремонт жилфонда</t>
  </si>
  <si>
    <t xml:space="preserve"> в том числе: Благоустройство</t>
  </si>
  <si>
    <t xml:space="preserve"> из них:уличное освещение</t>
  </si>
  <si>
    <t>из них: капремонт   жилфонда</t>
  </si>
  <si>
    <t>Резервные  фонды</t>
  </si>
  <si>
    <t>МЕЖБЮДЖЕТНЫЕ ТРАНСФЕРТЫ, ПЕРЕДАВАЕМЫЕ  БЮДЖЕТАМ  ПОСЕЛЕНИЙ ДЛЯ КОМПЕНСАЦИИ  ДОПОЛНИТЕЛЬНЫХ РАСХОДОВ, ВОЗНИКШИХ В РЕЗУЛЬТАТЕ  РЕШЕНИЙ,ПРИНЯТЫХ ОРГАНАМИ ВЛАСТИ  ДРУГОГО УРОВНЯ</t>
  </si>
  <si>
    <t>ИТОГО  БЕЗВОЗМЕЗДНЫХ ПОСТУПЛЕНИЙ</t>
  </si>
  <si>
    <t>невыясненные поступления</t>
  </si>
  <si>
    <t xml:space="preserve">ПРОЧИЕ  СУБСИДИИ БЮДЖЕТАМ  ПОСЕЛЕНИЙ  </t>
  </si>
  <si>
    <t>осуществление первичного воинского учета на территориях, где отсутствуют военные комиссариаты (фед.)</t>
  </si>
  <si>
    <t>прочие неналоговые поступления</t>
  </si>
  <si>
    <t>в том числе субсидии на софинансирование по осуществлению дорожной деятельности</t>
  </si>
  <si>
    <t xml:space="preserve">прочие  неналоговые  доходы  бюджетов  поселений  </t>
  </si>
  <si>
    <t>Налог на имущество физических лиц</t>
  </si>
  <si>
    <t>налог на доходы физических лиц</t>
  </si>
  <si>
    <t>единый сельскохозяйственный налог</t>
  </si>
  <si>
    <t>налоги на имущество физических лиц</t>
  </si>
  <si>
    <t>СУБСИДИИ</t>
  </si>
  <si>
    <t>в том числе</t>
  </si>
  <si>
    <t>из них</t>
  </si>
  <si>
    <t>субсидии местным бюджетам на софинансирование расходов  бюджетов м/о по осуществлению дорожной деятельности, кроме деятельности по строительству в границах поселений</t>
  </si>
  <si>
    <t>ИНЫЕ МЕЖБЮДЖЕТНЫЕ ТРАНСФЕРТЫ</t>
  </si>
  <si>
    <t>из них: заработная плата</t>
  </si>
  <si>
    <t xml:space="preserve">из них: заработная плата </t>
  </si>
  <si>
    <t xml:space="preserve">из них: заработная плата  </t>
  </si>
  <si>
    <t>МЕЖБЮДЖЕТНЫЕ ТРАНСФЕРТЫ, ПЕРЕДАВАЕМЫЕ  БЮДЖЕТАМ ПОСЕЛЕНИЙ ДЛЯ КОМПЕНСАЦИИ ДОПОЛНИТЕЛЬНЫХ РАСХОДОВ, ВОЗНИКШИХ В РЕЗУЛЬТАТЕ РЕШЕНИЙ, ПРИНЯТЫХ ОРГАНАМИ ВЛАСТИ ДРУГОГО УРОВНЯ</t>
  </si>
  <si>
    <t>ФИЗИЧЕСКАЯ КУЛЬТУРА И СПОРТ</t>
  </si>
  <si>
    <t xml:space="preserve">    физическая культура и спорт  </t>
  </si>
  <si>
    <t>доходы от реализации имущества</t>
  </si>
  <si>
    <t>невыясненные поступления, зачисляемые в бюджеты поселений</t>
  </si>
  <si>
    <t xml:space="preserve">                     Обеспечение пожарной безопасности</t>
  </si>
  <si>
    <t>Обеспечение пожарной безопасности</t>
  </si>
  <si>
    <t>Реализация дополнительных мероприятий, направленных на снижение напряженности на рынке труда</t>
  </si>
  <si>
    <t>прочие неналоговые доходы</t>
  </si>
  <si>
    <t xml:space="preserve">          прочие мероприятия по благоустройству</t>
  </si>
  <si>
    <t xml:space="preserve">      Дорожное хозяйство (дорожные фонды)</t>
  </si>
  <si>
    <t>в т.ч. осуществление дорожной деятельности, кроме деятельности по строительству автодорог местного значения в границах поселения (респ)</t>
  </si>
  <si>
    <t>в т.ч. осуществление дорожной деятельности, кроме деятельности по строительству автодорог местного значения в границах поселения (мест)</t>
  </si>
  <si>
    <t>МЕЖБЮДЖЕТНЫЕ ТРАНСФЕРТЫ, ПЕРЕДАВАЕМЫЕ  БЮДЖЕТАМ ПОСЕЛЕНИЙ  ДЛЯ КОМПЕНСАЦИИ ДОПОЛНИТЕЛЬНЫХ РАСХОДОВ,ВОЗНИКШИХ В РЕЗУЛЬТАТЕ РЕШЕНИЙ,ПРИНЯТЫХ ОРГАНАМИ ВЛАСТИ ДРУГОГО УРОВНЯ</t>
  </si>
  <si>
    <t>невыясненные прступления</t>
  </si>
  <si>
    <t>Доходы от реализации иного имущества, находящегося в собственности поселений</t>
  </si>
  <si>
    <t>в том числе: дотация на покрытие убытков  ЖКХ</t>
  </si>
  <si>
    <t xml:space="preserve">невыясненные поступления </t>
  </si>
  <si>
    <t>СУБСИДИИ  БЮДЖЕТАМ  ПОСЕЛЕНИЙ  НА КАПИТАЛЬНЫЙ РЕМОНТ И РЕМОНТ ДВОРОВЫХ ТЕРРИТОРИЙ  МНОГОКВАРТИРНЫХ ДОМОВ, ПРОЕЗДОВ К ДВОРОВЫМ  ТЕРРИТОРИЯМ  МНОГОКВАРТИРНЫХ ДОМОВ</t>
  </si>
  <si>
    <t>из  них: выполнение других обязательств государства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</si>
  <si>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</si>
  <si>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</si>
  <si>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арендная плата за земли после разграничения</t>
  </si>
  <si>
    <t>ИТОГО БЕЗВОЗМЕЗДНЫХ ПОСТУПЛЕНИЙ</t>
  </si>
  <si>
    <t>в т. ч. финансовое обеспечение дорожной деятельности ( фед.)</t>
  </si>
  <si>
    <t>капитальный ремонт и ремонт дворовых территорий многоквартирных домов, проездов к дворовым территориям многоквартирныых домов( респ. )</t>
  </si>
  <si>
    <t>в  том  числе:  расходы на содержание объектов  в области  коммунального хозяйства</t>
  </si>
  <si>
    <t>в  том числе : на перечисления по обеспечению деятельности  муниципальных учреждений</t>
  </si>
  <si>
    <t>в  том числе : субсидии на обеспечение деятельности музеев</t>
  </si>
  <si>
    <t>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</si>
  <si>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</si>
  <si>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>СУБСИДИИ БЮДЖЕТАМ ПОСЕЛЕНИЙ НА БЮДЖЕТНЫЕ ИНВЕСТИЦИИ  В ОБЪЕКТЫ КАПИТАЛЬНОГО СТРОИТЕЛЬСТВА</t>
  </si>
  <si>
    <t>в т. ч. проектирование и строительство автомобильных дорог ( респ.)</t>
  </si>
  <si>
    <t>СУБВЕНЦИИ БЮДЖЕТАМ ПОСЕЛЕНИЙ НА ВЫПОЛНЕНИЕ  ПЕРЕДАВАЕМЫХ ПОЛНОМОЧИЙ СУБЪЕКТОВ РОССИЙСКОЙ ФЕДЕРАЦИИ</t>
  </si>
  <si>
    <t>в т. ч. проектирование и строительство автомобильных дорог ( местн.)</t>
  </si>
  <si>
    <t>в том числе: Коммунальное  хозяйство</t>
  </si>
  <si>
    <t>в т. ч. проектирование и строительство автомобильных дорог ( фед.)</t>
  </si>
  <si>
    <t xml:space="preserve">в т. ч. проектир. и стр-во автомобильных дорог ( местн.)           </t>
  </si>
  <si>
    <t>доходы от сдачи в аренду имущества</t>
  </si>
  <si>
    <t>арендная плата за земли, находящ. в собственности поселений</t>
  </si>
  <si>
    <t>арендная плата за земли  до  разграничения</t>
  </si>
  <si>
    <t>администрации Козловского района</t>
  </si>
  <si>
    <t>из  них: проведение землеустроительных (кадастровых) работ  по земельным участкам, находящимся в муниципальной собственности  Чувашской  Республики, и внесение сведений в кадастр недвижимости</t>
  </si>
  <si>
    <t>в том числе: Жилищное  хозяйство</t>
  </si>
  <si>
    <t>из них: капитальный ремонт жилищного фонда</t>
  </si>
  <si>
    <t>в  том  числе:  капитальный и текущий ремонт объектов водоснабжения</t>
  </si>
  <si>
    <t>из них: капитальный и текущий ремонт  объектов водоснабжения</t>
  </si>
  <si>
    <t xml:space="preserve">  из них: капитальный и текущий ремонт объектов водоснабжения</t>
  </si>
  <si>
    <t xml:space="preserve">            мероприятия, направленные  на энергосбережение и повышение энергетической эффективности энергетических ресурсов, используемых для целей уличного освещения</t>
  </si>
  <si>
    <t>земельный налог- всего</t>
  </si>
  <si>
    <t xml:space="preserve">  - земельный налог с организаций</t>
  </si>
  <si>
    <t xml:space="preserve">  - земельный налог с физических лиц</t>
  </si>
  <si>
    <t>Начальник  финансового отдела</t>
  </si>
  <si>
    <t>Т.В. Серова</t>
  </si>
  <si>
    <t xml:space="preserve">  в том числе : на осуществление госполномочий ЧР по ведению учета граждан</t>
  </si>
  <si>
    <t xml:space="preserve">  в том числе : на осуществление госполномочий ЧР по организации и осуществлению мероприятий по регулированию численности безнадзорных животных</t>
  </si>
  <si>
    <t>Сельское хозяйство и рыболовство</t>
  </si>
  <si>
    <t>в т. ч. на мероприятия по регулированию численности безнадзорных животных ( респ.)</t>
  </si>
  <si>
    <t xml:space="preserve">           мероприятия, направленные на энергосбережение и повышение энергетической эффективности энергетических ресурсов, используемых для целей уличного освещения</t>
  </si>
  <si>
    <t>Возмещение потерь сельскохоз. производ., связанных с изъятием сельскохоз.угодий</t>
  </si>
  <si>
    <t>в т.ч.:софинансирование  из местного бюджета  на капремонт и ремонт дворовых территорий многоквартирных домов</t>
  </si>
  <si>
    <t>доходы от продажи земельных участков,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</si>
  <si>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доходы от  продажи  земельных участков , государственная собственность  на  которые не разграничена </t>
  </si>
  <si>
    <t>доходы от  продажи  земельных участков , государственная собственность  на  которые  разграничена ( за исключение земельных участков бюджетных и автономных учреждений)</t>
  </si>
  <si>
    <t>в т. ч. на мероприятия по регулированию численности безнадзорных животных ( местн.)</t>
  </si>
  <si>
    <t>ПРОЧИЕ МЕЖБЮДЖЕТНЫЕ ТРАНСФЕРТЫ, ПЕРЕДАВАЕМЫЕ БЮДЖЕТАМ ПОСЕЛЕНИЙ</t>
  </si>
  <si>
    <t>в т. ч. проектирование и строительство автомобильных дорог  (местн.)</t>
  </si>
  <si>
    <t>из них: содержание муниципального жилфонда</t>
  </si>
  <si>
    <t>в  том  числе:  эксплуатация, техническое содержание и обслуживание сетей водопровода</t>
  </si>
  <si>
    <t>в т. ч. проектирование и строительство автомобильных дорог- софинансирование ( местн.)</t>
  </si>
  <si>
    <t>в т.ч. осуществление дорожной деятельности, кроме деятельности по строительству автодорог местного значения в границах поселения (мест- софин.)</t>
  </si>
  <si>
    <t>в т.ч. осуществление дорожной деятельности, кроме деятельности по строительству автодорог местного значения в границах поселения (мест.)</t>
  </si>
  <si>
    <t>софинансирование  из местного бюджета  на капремонт и ремонт дворовых территорий многоквартирных домов (местн.)</t>
  </si>
  <si>
    <t>из  них: прочие выплаиы по обязательствам муниципального образования (районн. бюдж.)</t>
  </si>
  <si>
    <t>из  них: проведение землеустроительных (кадастровых) работ  по земельным участкам, находящимся в муниципальной собственности  Чувашской  Республики, и внесение сведений в кадастр недвижимости (районн. бюдж.)</t>
  </si>
  <si>
    <t>из них: капитальный и текущий ремонт, модернизация котельных с использованием  энергоэффективного оборудования, замена неэффеективных отопительных котлов в индивидуальных системах отопления зданий, строений, сооружений( районн. бюдж.)</t>
  </si>
  <si>
    <t>из  них:разработка схем террит. планиров., генер. планов посел., а также проектов планировки террит.</t>
  </si>
  <si>
    <t>из  них: прочие выплаиы по обязательствам муниципального образования (за аренду котельной  с районн. бюдж.)</t>
  </si>
  <si>
    <t>в т.ч. осуществление дорожной деятельности, кроме деятельности по строительству автодорог местного значения в границах поселения (мест, софин.)</t>
  </si>
  <si>
    <t>в т. ч. проектирование и строительство автомобильных дорог - софинансирование( местн.софин.)</t>
  </si>
  <si>
    <t>Транспорт</t>
  </si>
  <si>
    <t>в т. ч. на обеспеч. перевозок пассажиров автомоб. трансп. по соц- значимым маршрутам ( местн.)</t>
  </si>
  <si>
    <t xml:space="preserve">      Водное хозяйство</t>
  </si>
  <si>
    <t xml:space="preserve">в т. ч. осущ. капит. ремонта гидротехнич. сооруж. (ср-ва районн. бюдж.)           </t>
  </si>
  <si>
    <t xml:space="preserve">       Сельское хозяйство и рыболовство</t>
  </si>
  <si>
    <t>ДОХОДЫ ОТ ОКАЗАНИЯ  ПЛАТНЫХ УСЛУГ (РАБОТ) И КОМПЕНСАЦИИ ЗАТРАТ ГОСУДАРСТВА</t>
  </si>
  <si>
    <t>Прочие доходы от оказания платных услуг (работ)</t>
  </si>
  <si>
    <t>в т. ч. проектирование и строительство автомобильных дорог (местн.)</t>
  </si>
  <si>
    <t>СУБСИДИИ БЮДЖЕТАМ ПОСЕЛЕНИЙ НА РЕАЛИЗАЦИЮ ФЕДЕРАЛЬНЫХ ЦЕЛЕВЫХ ПРОГРАММ</t>
  </si>
  <si>
    <t>из  них: осущ. работ по актуализации госуд. кадастровой оценки земель в целях налогообложения и вовлечения земельных участков в гражд- правовой оборот</t>
  </si>
  <si>
    <t xml:space="preserve">в т. ч. осущ. капит. ремонта гидротехнич. сооруж. (ср-ва федер. бюдж.)           </t>
  </si>
  <si>
    <t xml:space="preserve">в т. ч. осущ. капит. ремонта гидротехнич. сооруж. (ср-ва республикан. бюдж.)           </t>
  </si>
  <si>
    <t xml:space="preserve">      Сельское хозяйство и рыболовство</t>
  </si>
  <si>
    <t xml:space="preserve">      Другие вопросы в области национальной экономики</t>
  </si>
  <si>
    <t>в т. ч. актуализация документов террит. планирования с использованием цифровой картогрфич. основы и внесение измен. в правила землепользов. и застройки  (местн.)</t>
  </si>
  <si>
    <t>СУБСИДИИ БЮДЖЕТАМ ПОСЕЛЕНИЙ НА РЕАЛИЗАЦИЮ ФЕДЕРАЛЬНЫХ ЦЕЛЕВЫХ ПРОГРАММ (капитальный ремонт гидротехнических сооружений с. Шутнерово)</t>
  </si>
  <si>
    <t>СУБСИДИИ  БЮДЖЕТАМ ПОСЕЛЕНИЙ НА ПОДДЕРЖКУ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</si>
  <si>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</si>
  <si>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</si>
  <si>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 xml:space="preserve">                      ср-ва поселений</t>
  </si>
  <si>
    <t>поддержка муниципальных программ формирования современной городской среды</t>
  </si>
  <si>
    <t>содержание жилфонда</t>
  </si>
  <si>
    <t>в т.ч.:капитальный ремонт и ремонт дворовых территорий многоквартирных домов, проездов к дворовым территориям многоквартирных домов</t>
  </si>
  <si>
    <t>ждоходы от реализации иного имущества, находящегося в собственности поселения</t>
  </si>
  <si>
    <t>капитальный ремонт и ремонт автомобильных дорог общего пользования местного значения в границах посенления</t>
  </si>
  <si>
    <t>в том числе : средства поселения</t>
  </si>
  <si>
    <t>ПРОЧИЕ БЕЗВОЗМЕЗДНЫЕ ПОСТУПЛЕНИЯ В БЮДЖЕТЫ ГОРОДСКИХ ПОСЕЛЕНИЙ</t>
  </si>
  <si>
    <t xml:space="preserve">ПРОЧИЕ БЕЗВОЗМЕЗДНЫЕ ПОСТУПЛЕНИЯ </t>
  </si>
  <si>
    <t>Софинансирование расходов на повышение заработной платы работников учреждений культуры (респ)</t>
  </si>
  <si>
    <t xml:space="preserve"> в т.ч. : за счет средств районного бюджета</t>
  </si>
  <si>
    <t xml:space="preserve">           на реализацию проектов развития общественной инфраструктуры, основанных на местных инициативах (ср-ва респ. бюдж.)             </t>
  </si>
  <si>
    <t>в том числе субсидии на реализацию проектов развития общественной инфраструктуры, основанных на местных инициативах</t>
  </si>
  <si>
    <t>в том числе субсидии на проектирование и строительство автомобильных дорог</t>
  </si>
  <si>
    <t>в том числе субсидии на повышение оплаты труда</t>
  </si>
  <si>
    <t>в т. ч. на мероприятия по регулированию численности безнадзорных животных ( ср-ва посел.)</t>
  </si>
  <si>
    <t xml:space="preserve">           на реализацию проектов развития общественной инфраструктуры, основанных на местных инициативах (ср-ва посел.)             </t>
  </si>
  <si>
    <t xml:space="preserve">           на реализацию проектов развития общественной инфраструктуры, основанных на местных инициативах (ср-ва районн. бюдж.)             </t>
  </si>
  <si>
    <t xml:space="preserve">           на реализацию проектов развития общественной инфраструктуры, основанных на местных инициативах (ср-ва  насел.)             </t>
  </si>
  <si>
    <t>в  том числе : на расходы по  оплате за ПСД по стр-ву СДК на 100 мест</t>
  </si>
  <si>
    <t>из  них: проведение землеустроительных (кадастровых) работ  по земельным участкам, находящимся в  собственности  муниципального образования, и внесение сведений в кадастр недвижимости</t>
  </si>
  <si>
    <t>из  них: осуществление работ по актуализации государственной кадастровой оценки земель в целях налогообложения и вовлечения земельных участков в гражданско-правовой оборот</t>
  </si>
  <si>
    <t>Реализация мероприятий по развитию общественной инфраструктуры населенных пунктов (оплата ПСД  )</t>
  </si>
  <si>
    <t>в т. ч. оплата расходов по изготовлению техпаспортов на автодороги (ул. Лобачевского, 30 лет Победы)</t>
  </si>
  <si>
    <t>ПСД на  капремонт и ремонт дворовых территорий многоквартирных домов (местн.)</t>
  </si>
  <si>
    <t xml:space="preserve">                      ср-ва поселений  (софинансирование)</t>
  </si>
  <si>
    <t>мероприятия по формированию современной городской среды (ср-ва посел.)</t>
  </si>
  <si>
    <t>в  том числе : на перечисления по содержанию библиотек</t>
  </si>
  <si>
    <t>Софинансирование расходов на повышение заработной платы работников учреждений культуры (ср-ва посел.)</t>
  </si>
  <si>
    <t xml:space="preserve">                      ср-ва поселений (софинансир.)</t>
  </si>
  <si>
    <t>прочие выплаты по обязательствам  муниципального образования</t>
  </si>
  <si>
    <t xml:space="preserve">выполнение других обязательств государства </t>
  </si>
  <si>
    <t>Уточненный план на 2018 год</t>
  </si>
  <si>
    <t>% исполне-ния к  годовому плану  на 2018 г.</t>
  </si>
  <si>
    <t>Отклонение от годового плана 2018 г ( +, - )</t>
  </si>
  <si>
    <t>% исполнения к  годовому плану  на 2018 г.</t>
  </si>
  <si>
    <t xml:space="preserve">Отклонение от годового плана 2018 г ( +, - )         </t>
  </si>
  <si>
    <t>% исполнения к  годовому плану  на 2018г.</t>
  </si>
  <si>
    <t>из  них: проведение землеустроительных (кадастровых) работ  по земельным участкам, находящимся в собственности муниципального  образования, и внесение сведений в кадастр недвижимости</t>
  </si>
  <si>
    <t>из них: осуществление функций по использованию объектов коммунального хозяйства муниципальных образований, содержание объектов коммунального хозяйства</t>
  </si>
  <si>
    <t>из них: создание условий для максимального вовлечения в хозяйственный оборот муниципального имущества, в том числе земельных участков</t>
  </si>
  <si>
    <t>ГОСУДАРСТВЕННАЯ ПОШЛИНА</t>
  </si>
  <si>
    <t>из них: газификация населенных пунктов (проектир., стр-во, (реконстр.) газопроводных сетей)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</si>
  <si>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</si>
  <si>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ПРОЧИЕ БЕЗВОЗМЕЗДНЫЕ ПОСТУПЛЕНИЯ</t>
  </si>
  <si>
    <t xml:space="preserve">           на реализацию проектов развития общественной инфраструктуры, основанных на местных инициативах (ср-ва местн. бюдж.)             </t>
  </si>
  <si>
    <t>в т. ч. проектирование и строительство автомобильных дорог ( ср-ва районн. Бюдж.)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</si>
  <si>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такжк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</si>
  <si>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поселения</t>
  </si>
  <si>
    <t>из  них: обеспечение гарантий прав на муниципальное имущество ЧР, в том числе на землю, и защита прав и законных интересов собственников, землепользователей, землевладельцев и арендаторов земельных участков (местн.)</t>
  </si>
  <si>
    <t>из них: капитальный и текущий ремонт, модернизация котельных с использованием  энергоэффективного оборудования, замена неэффеективных отопительных котлов в индивидуальных системах отопления зданий, строений, сооружений( местн. бюдж.)</t>
  </si>
  <si>
    <t xml:space="preserve">в  том числе : на расходы по  оплате за ПСД по стр-ву СДК </t>
  </si>
  <si>
    <t>В т. ч. на  строительство (реконструкция) зданий муниципальных учреждений культуры (ПСД на СДК)</t>
  </si>
  <si>
    <t>доходы от продажи земельных участков, находящихся в собственности сельских поселений(за исключением  земельных участков бюджетных и автономных учреждений)</t>
  </si>
  <si>
    <t xml:space="preserve">           на реализацию проектов развития общественной инфраструктуры, основанных на местных инициативах - всего       </t>
  </si>
  <si>
    <t xml:space="preserve">       в том числе: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</si>
  <si>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     на реализацию проектов развития общественной инфраструктуры, основанных на местных инициативах - всего          </t>
  </si>
  <si>
    <t xml:space="preserve">         в том числе:  на реализацию проектов развития общественной инфраструктуры, основанных на местных инициативах (ср-ва респ. бюдж.)             </t>
  </si>
  <si>
    <t xml:space="preserve">     в том числе:  на реализацию проектов развития общественной инфраструктуры, основанных на местных инициативах (ср-ва мест. бюдж.)             </t>
  </si>
  <si>
    <t xml:space="preserve">    в том числе:   на реализацию проектов развития общественной инфраструктуры, основанных на местных инициативах (ср-ва от насел.)             </t>
  </si>
  <si>
    <t xml:space="preserve">           на реализацию проектов развития общественной инфраструктуры, основанных на местных инициативах (ср-ва от насел.)             </t>
  </si>
  <si>
    <t xml:space="preserve">       в том числе:    на реализацию проектов развития общественной инфраструктуры, основанных на местных инициативах (ср-ва респ. бюдж.)             </t>
  </si>
  <si>
    <t xml:space="preserve">      в том числе:   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</si>
  <si>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в том числе:     на реализацию проектов развития общественной инфраструктуры, основанных на местных инициативах (ср-ва от насел.)             </t>
  </si>
  <si>
    <t xml:space="preserve">        в том числе:   на реализацию проектов развития общественной инфраструктуры, основанных на местных инициативах (ср-ва респ. бюдж.)             </t>
  </si>
  <si>
    <t xml:space="preserve">       в том числе:  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</si>
  <si>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  в том числе:   на реализацию проектов развития общественной инфраструктуры, основанных на местных инициативах (ср-ва от насел.)             </t>
  </si>
  <si>
    <t xml:space="preserve">       в том числе:   на реализацию проектов развития общественной инфраструктуры, основанных на местных инициативах (ср-ва  респ.бюдж.)             </t>
  </si>
  <si>
    <t xml:space="preserve">    в том числе:    на реализацию проектов развития общественной инфраструктуры, основанных на местных инициативах (ср-ва от насел.)             </t>
  </si>
  <si>
    <t xml:space="preserve">       в том числе:    на реализацию проектов развития общественной инфраструктуры, основанных на местных инициативах (ср-ва районн. бюдж.)             </t>
  </si>
  <si>
    <t xml:space="preserve">         в том числе:  на реализацию проектов развития общественной инфраструктуры, основанных на местных инициативах (ср-ва посел.)             </t>
  </si>
  <si>
    <t xml:space="preserve">      в том числе:     на реализацию проектов развития общественной инфраструктуры, основанных на местных инициативах (ср-ва  насел.)             </t>
  </si>
  <si>
    <t>в т. ч. Разработка схем территориального планирования, генеральных планов поселений,а также проектов планировки территрии (местн.)</t>
  </si>
  <si>
    <t>Анализ  исполнения бюджета Андреево-Базарского сельского поселения за  июль  2018 года</t>
  </si>
  <si>
    <t>Фактическое исполнение за   июль     2018 года</t>
  </si>
  <si>
    <t>Анализ исполнения бюджета Аттиковского сельского поселения за  июль    2018 года</t>
  </si>
  <si>
    <t>Фактическое исполнение за  июль    2018 года</t>
  </si>
  <si>
    <t>Анализ исполнения бюджета  Байгуловского сельского поселения за  июль     2018 года</t>
  </si>
  <si>
    <t>Фактическое исполнение за  июль     2018 года</t>
  </si>
  <si>
    <t>Анализ исполнения бюджета  Еметкинского сельского поселения за   июль    2018 года</t>
  </si>
  <si>
    <t>Фактическое исполнение за   июль    2018 года</t>
  </si>
  <si>
    <t>Анализ исполнения бюджета  Карамышевского сельского поселения за  июль      2018 года</t>
  </si>
  <si>
    <t>Анализ исполнения бюджета  Карачевского сельского поселения за  июль     2018 года</t>
  </si>
  <si>
    <t>Фактическое исполнение за  июль      2018 года</t>
  </si>
  <si>
    <t>Анализ исполнения бюджета  Козловского  городского  поселения  за  июль      2018  года</t>
  </si>
  <si>
    <t>Фактическое исполнение за июль      2018 года</t>
  </si>
  <si>
    <t>Анализ исполнения бюджета  Солдыбаевского сельского поселения за  июль    2018 года</t>
  </si>
  <si>
    <t>Анализ исполнения бюджета  Тюрлеминского сельского поселения за  июль     2018 года</t>
  </si>
  <si>
    <t>Фактическое исполнение за июль    2018 года</t>
  </si>
  <si>
    <t>Анализ исполнения бюджета  Янгильдинского сельского поселения за  июль     2018 года</t>
  </si>
  <si>
    <t>Анализ   исполнения   бюджетов   поселений   за   июль    2018 года.</t>
  </si>
  <si>
    <t>Фактическое исполнение за  июль   2018 года</t>
  </si>
  <si>
    <t>из  них: выполнение других обязвательств муниципального образования</t>
  </si>
  <si>
    <t>доходы от  продажи  земельных участков , государственная  собственность на которые не разграничена и которые расположены в границах городских поселений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</si>
</sst>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_-* #,##0.0_р_._-;\-* #,##0.0_р_._-;_-* &quot;-&quot;_р_._-;_-@_-"/>
    <numFmt numFmtId="168" formatCode="_-* #,##0.00_р_._-;\-* #,##0.00_р_._-;_-* &quot;-&quot;_р_._-;_-@_-"/>
    <numFmt numFmtId="169" formatCode="#,##0.0_ ;\-#,##0.0\ "/>
    <numFmt numFmtId="170" formatCode="#,##0.00_ ;\-#,##0.00\ 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</numFmts>
  <fonts count="55">
    <font>
      <sz val="10"/>
      <name val="Arial Cyr"/>
      <family val="0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i/>
      <sz val="10"/>
      <color indexed="10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sz val="9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0"/>
    </font>
    <font>
      <sz val="10"/>
      <color indexed="1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8"/>
      <name val="Times New Roman"/>
      <family val="1"/>
    </font>
    <font>
      <b/>
      <i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41" fontId="0" fillId="0" borderId="0" xfId="59" applyFont="1" applyFill="1" applyAlignment="1">
      <alignment horizontal="right"/>
    </xf>
    <xf numFmtId="41" fontId="0" fillId="0" borderId="0" xfId="59" applyFont="1" applyFill="1" applyAlignment="1">
      <alignment horizontal="right" wrapText="1"/>
    </xf>
    <xf numFmtId="41" fontId="0" fillId="0" borderId="0" xfId="59" applyFont="1" applyFill="1" applyAlignment="1">
      <alignment horizontal="center"/>
    </xf>
    <xf numFmtId="0" fontId="0" fillId="0" borderId="0" xfId="0" applyFill="1" applyAlignment="1">
      <alignment/>
    </xf>
    <xf numFmtId="41" fontId="0" fillId="0" borderId="0" xfId="59" applyFont="1" applyFill="1" applyAlignment="1">
      <alignment/>
    </xf>
    <xf numFmtId="41" fontId="0" fillId="0" borderId="0" xfId="59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" fontId="0" fillId="0" borderId="10" xfId="59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right" wrapText="1"/>
    </xf>
    <xf numFmtId="41" fontId="0" fillId="0" borderId="10" xfId="59" applyFont="1" applyFill="1" applyBorder="1" applyAlignment="1">
      <alignment wrapText="1"/>
    </xf>
    <xf numFmtId="0" fontId="0" fillId="0" borderId="11" xfId="0" applyFill="1" applyBorder="1" applyAlignment="1">
      <alignment horizontal="center" vertical="center" wrapText="1"/>
    </xf>
    <xf numFmtId="1" fontId="0" fillId="0" borderId="12" xfId="59" applyNumberFormat="1" applyFont="1" applyFill="1" applyBorder="1" applyAlignment="1">
      <alignment horizontal="center" wrapText="1"/>
    </xf>
    <xf numFmtId="41" fontId="0" fillId="0" borderId="12" xfId="59" applyFont="1" applyFill="1" applyBorder="1" applyAlignment="1">
      <alignment horizontal="right" wrapText="1"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 horizontal="left" wrapText="1"/>
    </xf>
    <xf numFmtId="0" fontId="3" fillId="0" borderId="11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41" fontId="6" fillId="0" borderId="0" xfId="59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11" xfId="0" applyFont="1" applyFill="1" applyBorder="1" applyAlignment="1">
      <alignment horizontal="right" wrapText="1"/>
    </xf>
    <xf numFmtId="0" fontId="5" fillId="0" borderId="0" xfId="0" applyFont="1" applyFill="1" applyAlignment="1">
      <alignment horizontal="center" vertical="center" wrapText="1"/>
    </xf>
    <xf numFmtId="2" fontId="0" fillId="0" borderId="10" xfId="0" applyNumberFormat="1" applyFill="1" applyBorder="1" applyAlignment="1">
      <alignment horizontal="right" wrapText="1"/>
    </xf>
    <xf numFmtId="2" fontId="0" fillId="0" borderId="10" xfId="0" applyNumberFormat="1" applyFill="1" applyBorder="1" applyAlignment="1">
      <alignment wrapText="1"/>
    </xf>
    <xf numFmtId="2" fontId="0" fillId="0" borderId="10" xfId="55" applyNumberFormat="1" applyFont="1" applyFill="1" applyBorder="1" applyAlignment="1">
      <alignment wrapText="1"/>
    </xf>
    <xf numFmtId="2" fontId="0" fillId="0" borderId="10" xfId="59" applyNumberFormat="1" applyFont="1" applyFill="1" applyBorder="1" applyAlignment="1">
      <alignment horizontal="right" wrapText="1"/>
    </xf>
    <xf numFmtId="2" fontId="0" fillId="0" borderId="10" xfId="59" applyNumberFormat="1" applyFont="1" applyFill="1" applyBorder="1" applyAlignment="1">
      <alignment wrapText="1"/>
    </xf>
    <xf numFmtId="1" fontId="0" fillId="0" borderId="10" xfId="0" applyNumberForma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41" fontId="5" fillId="0" borderId="14" xfId="59" applyFont="1" applyFill="1" applyBorder="1" applyAlignment="1">
      <alignment horizontal="center" vertical="center" wrapText="1"/>
    </xf>
    <xf numFmtId="1" fontId="0" fillId="0" borderId="15" xfId="59" applyNumberFormat="1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wrapText="1"/>
    </xf>
    <xf numFmtId="41" fontId="5" fillId="0" borderId="17" xfId="59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1" fontId="10" fillId="0" borderId="0" xfId="59" applyFont="1" applyFill="1" applyAlignment="1">
      <alignment/>
    </xf>
    <xf numFmtId="2" fontId="10" fillId="0" borderId="10" xfId="0" applyNumberFormat="1" applyFont="1" applyFill="1" applyBorder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11" xfId="0" applyFont="1" applyFill="1" applyBorder="1" applyAlignment="1">
      <alignment wrapText="1"/>
    </xf>
    <xf numFmtId="2" fontId="10" fillId="0" borderId="12" xfId="59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wrapText="1"/>
    </xf>
    <xf numFmtId="2" fontId="0" fillId="0" borderId="12" xfId="59" applyNumberFormat="1" applyFont="1" applyFill="1" applyBorder="1" applyAlignment="1">
      <alignment horizontal="right" wrapText="1"/>
    </xf>
    <xf numFmtId="2" fontId="4" fillId="0" borderId="10" xfId="0" applyNumberFormat="1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right" wrapText="1"/>
    </xf>
    <xf numFmtId="2" fontId="2" fillId="0" borderId="10" xfId="59" applyNumberFormat="1" applyFont="1" applyFill="1" applyBorder="1" applyAlignment="1">
      <alignment wrapText="1"/>
    </xf>
    <xf numFmtId="41" fontId="0" fillId="0" borderId="0" xfId="59" applyFill="1" applyAlignment="1">
      <alignment/>
    </xf>
    <xf numFmtId="1" fontId="0" fillId="0" borderId="10" xfId="59" applyNumberFormat="1" applyFont="1" applyFill="1" applyBorder="1" applyAlignment="1">
      <alignment horizontal="center" wrapText="1"/>
    </xf>
    <xf numFmtId="1" fontId="0" fillId="0" borderId="12" xfId="59" applyNumberFormat="1" applyFill="1" applyBorder="1" applyAlignment="1">
      <alignment horizontal="center" wrapText="1"/>
    </xf>
    <xf numFmtId="41" fontId="0" fillId="0" borderId="10" xfId="59" applyFill="1" applyBorder="1" applyAlignment="1">
      <alignment wrapText="1"/>
    </xf>
    <xf numFmtId="41" fontId="0" fillId="0" borderId="12" xfId="59" applyFill="1" applyBorder="1" applyAlignment="1">
      <alignment horizontal="right" wrapText="1"/>
    </xf>
    <xf numFmtId="41" fontId="0" fillId="0" borderId="0" xfId="59" applyFill="1" applyAlignment="1">
      <alignment wrapText="1"/>
    </xf>
    <xf numFmtId="41" fontId="0" fillId="0" borderId="0" xfId="59" applyFill="1" applyAlignment="1">
      <alignment horizontal="right" wrapText="1"/>
    </xf>
    <xf numFmtId="0" fontId="10" fillId="0" borderId="11" xfId="0" applyFont="1" applyFill="1" applyBorder="1" applyAlignment="1">
      <alignment wrapText="1"/>
    </xf>
    <xf numFmtId="2" fontId="10" fillId="0" borderId="10" xfId="0" applyNumberFormat="1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2" fontId="9" fillId="0" borderId="0" xfId="59" applyNumberFormat="1" applyFont="1" applyFill="1" applyAlignment="1">
      <alignment wrapText="1"/>
    </xf>
    <xf numFmtId="2" fontId="9" fillId="0" borderId="0" xfId="0" applyNumberFormat="1" applyFont="1" applyFill="1" applyAlignment="1">
      <alignment wrapText="1"/>
    </xf>
    <xf numFmtId="2" fontId="9" fillId="0" borderId="0" xfId="59" applyNumberFormat="1" applyFont="1" applyFill="1" applyAlignment="1">
      <alignment horizontal="right" wrapText="1"/>
    </xf>
    <xf numFmtId="0" fontId="0" fillId="0" borderId="11" xfId="0" applyFont="1" applyFill="1" applyBorder="1" applyAlignment="1">
      <alignment horizontal="center" vertical="center" wrapText="1"/>
    </xf>
    <xf numFmtId="1" fontId="0" fillId="0" borderId="10" xfId="59" applyNumberFormat="1" applyFont="1" applyFill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center" wrapText="1"/>
    </xf>
    <xf numFmtId="1" fontId="0" fillId="0" borderId="12" xfId="59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41" fontId="0" fillId="0" borderId="10" xfId="59" applyFont="1" applyFill="1" applyBorder="1" applyAlignment="1">
      <alignment wrapText="1"/>
    </xf>
    <xf numFmtId="41" fontId="0" fillId="0" borderId="12" xfId="59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0" fontId="4" fillId="0" borderId="11" xfId="0" applyFont="1" applyFill="1" applyBorder="1" applyAlignment="1">
      <alignment wrapText="1"/>
    </xf>
    <xf numFmtId="41" fontId="4" fillId="0" borderId="10" xfId="59" applyFont="1" applyFill="1" applyBorder="1" applyAlignment="1">
      <alignment horizontal="right" wrapText="1"/>
    </xf>
    <xf numFmtId="2" fontId="4" fillId="0" borderId="10" xfId="55" applyNumberFormat="1" applyFont="1" applyFill="1" applyBorder="1" applyAlignment="1">
      <alignment wrapText="1"/>
    </xf>
    <xf numFmtId="165" fontId="4" fillId="0" borderId="12" xfId="59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right" wrapText="1"/>
    </xf>
    <xf numFmtId="2" fontId="0" fillId="0" borderId="10" xfId="55" applyNumberFormat="1" applyFont="1" applyFill="1" applyBorder="1" applyAlignment="1">
      <alignment wrapText="1"/>
    </xf>
    <xf numFmtId="2" fontId="0" fillId="0" borderId="12" xfId="59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2" fontId="0" fillId="0" borderId="10" xfId="59" applyNumberFormat="1" applyFont="1" applyFill="1" applyBorder="1" applyAlignment="1">
      <alignment horizontal="right" wrapText="1"/>
    </xf>
    <xf numFmtId="0" fontId="11" fillId="0" borderId="11" xfId="0" applyFont="1" applyFill="1" applyBorder="1" applyAlignment="1">
      <alignment wrapText="1"/>
    </xf>
    <xf numFmtId="2" fontId="0" fillId="0" borderId="10" xfId="59" applyNumberFormat="1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2" fontId="0" fillId="0" borderId="19" xfId="59" applyNumberFormat="1" applyFont="1" applyFill="1" applyBorder="1" applyAlignment="1">
      <alignment horizontal="right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2" fontId="0" fillId="0" borderId="21" xfId="59" applyNumberFormat="1" applyFont="1" applyFill="1" applyBorder="1" applyAlignment="1">
      <alignment horizontal="right" wrapText="1"/>
    </xf>
    <xf numFmtId="2" fontId="0" fillId="0" borderId="15" xfId="55" applyNumberFormat="1" applyFont="1" applyFill="1" applyBorder="1" applyAlignment="1">
      <alignment wrapText="1"/>
    </xf>
    <xf numFmtId="2" fontId="0" fillId="0" borderId="22" xfId="59" applyNumberFormat="1" applyFont="1" applyFill="1" applyBorder="1" applyAlignment="1">
      <alignment horizontal="right" wrapText="1"/>
    </xf>
    <xf numFmtId="0" fontId="9" fillId="0" borderId="0" xfId="0" applyFont="1" applyFill="1" applyAlignment="1">
      <alignment wrapText="1"/>
    </xf>
    <xf numFmtId="2" fontId="9" fillId="0" borderId="0" xfId="59" applyNumberFormat="1" applyFont="1" applyFill="1" applyAlignment="1">
      <alignment wrapText="1"/>
    </xf>
    <xf numFmtId="2" fontId="9" fillId="0" borderId="0" xfId="0" applyNumberFormat="1" applyFont="1" applyFill="1" applyAlignment="1">
      <alignment wrapText="1"/>
    </xf>
    <xf numFmtId="2" fontId="9" fillId="0" borderId="0" xfId="59" applyNumberFormat="1" applyFont="1" applyFill="1" applyAlignment="1">
      <alignment horizontal="right" wrapText="1"/>
    </xf>
    <xf numFmtId="2" fontId="0" fillId="0" borderId="10" xfId="0" applyNumberFormat="1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11" fillId="0" borderId="11" xfId="0" applyFont="1" applyFill="1" applyBorder="1" applyAlignment="1">
      <alignment wrapText="1"/>
    </xf>
    <xf numFmtId="2" fontId="11" fillId="0" borderId="10" xfId="0" applyNumberFormat="1" applyFont="1" applyFill="1" applyBorder="1" applyAlignment="1">
      <alignment wrapText="1"/>
    </xf>
    <xf numFmtId="2" fontId="11" fillId="0" borderId="10" xfId="59" applyNumberFormat="1" applyFont="1" applyFill="1" applyBorder="1" applyAlignment="1">
      <alignment horizontal="right" wrapText="1"/>
    </xf>
    <xf numFmtId="0" fontId="0" fillId="0" borderId="18" xfId="0" applyFont="1" applyFill="1" applyBorder="1" applyAlignment="1">
      <alignment horizontal="left" wrapText="1"/>
    </xf>
    <xf numFmtId="2" fontId="0" fillId="0" borderId="19" xfId="0" applyNumberFormat="1" applyFont="1" applyFill="1" applyBorder="1" applyAlignment="1">
      <alignment wrapText="1"/>
    </xf>
    <xf numFmtId="2" fontId="4" fillId="0" borderId="19" xfId="0" applyNumberFormat="1" applyFont="1" applyFill="1" applyBorder="1" applyAlignment="1">
      <alignment horizontal="right" wrapText="1"/>
    </xf>
    <xf numFmtId="2" fontId="0" fillId="0" borderId="19" xfId="55" applyNumberFormat="1" applyFont="1" applyFill="1" applyBorder="1" applyAlignment="1">
      <alignment wrapText="1"/>
    </xf>
    <xf numFmtId="2" fontId="0" fillId="0" borderId="23" xfId="59" applyNumberFormat="1" applyFont="1" applyFill="1" applyBorder="1" applyAlignment="1">
      <alignment horizontal="right" wrapText="1"/>
    </xf>
    <xf numFmtId="0" fontId="0" fillId="0" borderId="24" xfId="0" applyFont="1" applyFill="1" applyBorder="1" applyAlignment="1">
      <alignment horizontal="left" wrapText="1"/>
    </xf>
    <xf numFmtId="2" fontId="0" fillId="0" borderId="15" xfId="0" applyNumberFormat="1" applyFont="1" applyFill="1" applyBorder="1" applyAlignment="1">
      <alignment horizontal="right" wrapText="1"/>
    </xf>
    <xf numFmtId="2" fontId="0" fillId="0" borderId="25" xfId="55" applyNumberFormat="1" applyFont="1" applyFill="1" applyBorder="1" applyAlignment="1">
      <alignment wrapText="1"/>
    </xf>
    <xf numFmtId="2" fontId="0" fillId="0" borderId="26" xfId="59" applyNumberFormat="1" applyFont="1" applyFill="1" applyBorder="1" applyAlignment="1">
      <alignment horizontal="right" wrapText="1"/>
    </xf>
    <xf numFmtId="2" fontId="0" fillId="0" borderId="19" xfId="59" applyNumberFormat="1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2" fontId="0" fillId="0" borderId="15" xfId="0" applyNumberFormat="1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2" fontId="0" fillId="0" borderId="25" xfId="0" applyNumberFormat="1" applyFont="1" applyFill="1" applyBorder="1" applyAlignment="1">
      <alignment wrapText="1"/>
    </xf>
    <xf numFmtId="2" fontId="0" fillId="0" borderId="21" xfId="0" applyNumberFormat="1" applyFont="1" applyFill="1" applyBorder="1" applyAlignment="1">
      <alignment wrapText="1"/>
    </xf>
    <xf numFmtId="2" fontId="0" fillId="0" borderId="21" xfId="59" applyNumberFormat="1" applyFont="1" applyFill="1" applyBorder="1" applyAlignment="1">
      <alignment wrapText="1"/>
    </xf>
    <xf numFmtId="2" fontId="0" fillId="0" borderId="21" xfId="55" applyNumberFormat="1" applyFont="1" applyFill="1" applyBorder="1" applyAlignment="1">
      <alignment wrapText="1"/>
    </xf>
    <xf numFmtId="2" fontId="0" fillId="0" borderId="28" xfId="59" applyNumberFormat="1" applyFont="1" applyFill="1" applyBorder="1" applyAlignment="1">
      <alignment horizontal="right" wrapText="1"/>
    </xf>
    <xf numFmtId="2" fontId="0" fillId="0" borderId="15" xfId="59" applyNumberFormat="1" applyFont="1" applyFill="1" applyBorder="1" applyAlignment="1">
      <alignment horizontal="right" wrapText="1"/>
    </xf>
    <xf numFmtId="0" fontId="0" fillId="0" borderId="18" xfId="0" applyFill="1" applyBorder="1" applyAlignment="1">
      <alignment wrapText="1"/>
    </xf>
    <xf numFmtId="0" fontId="7" fillId="0" borderId="18" xfId="0" applyFont="1" applyFill="1" applyBorder="1" applyAlignment="1">
      <alignment horizontal="right" wrapText="1"/>
    </xf>
    <xf numFmtId="2" fontId="1" fillId="0" borderId="19" xfId="0" applyNumberFormat="1" applyFont="1" applyFill="1" applyBorder="1" applyAlignment="1">
      <alignment horizontal="right" wrapText="1"/>
    </xf>
    <xf numFmtId="2" fontId="2" fillId="0" borderId="19" xfId="59" applyNumberFormat="1" applyFont="1" applyFill="1" applyBorder="1" applyAlignment="1">
      <alignment wrapText="1"/>
    </xf>
    <xf numFmtId="0" fontId="13" fillId="0" borderId="11" xfId="0" applyFont="1" applyFill="1" applyBorder="1" applyAlignment="1">
      <alignment wrapText="1"/>
    </xf>
    <xf numFmtId="2" fontId="13" fillId="0" borderId="10" xfId="0" applyNumberFormat="1" applyFont="1" applyFill="1" applyBorder="1" applyAlignment="1">
      <alignment wrapText="1"/>
    </xf>
    <xf numFmtId="2" fontId="13" fillId="0" borderId="10" xfId="55" applyNumberFormat="1" applyFont="1" applyFill="1" applyBorder="1" applyAlignment="1">
      <alignment wrapText="1"/>
    </xf>
    <xf numFmtId="2" fontId="13" fillId="0" borderId="12" xfId="59" applyNumberFormat="1" applyFont="1" applyFill="1" applyBorder="1" applyAlignment="1">
      <alignment horizontal="right" wrapText="1"/>
    </xf>
    <xf numFmtId="2" fontId="0" fillId="0" borderId="19" xfId="55" applyNumberFormat="1" applyFont="1" applyFill="1" applyBorder="1" applyAlignment="1">
      <alignment wrapText="1"/>
    </xf>
    <xf numFmtId="2" fontId="0" fillId="0" borderId="23" xfId="59" applyNumberFormat="1" applyFont="1" applyFill="1" applyBorder="1" applyAlignment="1">
      <alignment horizontal="right" wrapText="1"/>
    </xf>
    <xf numFmtId="2" fontId="0" fillId="0" borderId="19" xfId="0" applyNumberFormat="1" applyFill="1" applyBorder="1" applyAlignment="1">
      <alignment wrapText="1"/>
    </xf>
    <xf numFmtId="2" fontId="0" fillId="0" borderId="19" xfId="59" applyNumberFormat="1" applyFont="1" applyFill="1" applyBorder="1" applyAlignment="1">
      <alignment horizontal="right" wrapText="1"/>
    </xf>
    <xf numFmtId="2" fontId="0" fillId="0" borderId="19" xfId="59" applyNumberFormat="1" applyFont="1" applyFill="1" applyBorder="1" applyAlignment="1">
      <alignment wrapText="1"/>
    </xf>
    <xf numFmtId="0" fontId="0" fillId="0" borderId="24" xfId="0" applyFill="1" applyBorder="1" applyAlignment="1">
      <alignment wrapText="1"/>
    </xf>
    <xf numFmtId="2" fontId="0" fillId="0" borderId="15" xfId="0" applyNumberFormat="1" applyFill="1" applyBorder="1" applyAlignment="1">
      <alignment wrapText="1"/>
    </xf>
    <xf numFmtId="2" fontId="0" fillId="0" borderId="15" xfId="55" applyNumberFormat="1" applyFont="1" applyFill="1" applyBorder="1" applyAlignment="1">
      <alignment wrapText="1"/>
    </xf>
    <xf numFmtId="2" fontId="0" fillId="0" borderId="22" xfId="59" applyNumberFormat="1" applyFont="1" applyFill="1" applyBorder="1" applyAlignment="1">
      <alignment horizontal="right" wrapText="1"/>
    </xf>
    <xf numFmtId="0" fontId="10" fillId="0" borderId="20" xfId="0" applyFont="1" applyFill="1" applyBorder="1" applyAlignment="1">
      <alignment wrapText="1"/>
    </xf>
    <xf numFmtId="2" fontId="0" fillId="0" borderId="21" xfId="0" applyNumberFormat="1" applyFill="1" applyBorder="1" applyAlignment="1">
      <alignment wrapText="1"/>
    </xf>
    <xf numFmtId="2" fontId="0" fillId="0" borderId="21" xfId="59" applyNumberFormat="1" applyFont="1" applyFill="1" applyBorder="1" applyAlignment="1">
      <alignment horizontal="right" wrapText="1"/>
    </xf>
    <xf numFmtId="2" fontId="0" fillId="0" borderId="21" xfId="55" applyNumberFormat="1" applyFont="1" applyFill="1" applyBorder="1" applyAlignment="1">
      <alignment wrapText="1"/>
    </xf>
    <xf numFmtId="2" fontId="0" fillId="0" borderId="28" xfId="59" applyNumberFormat="1" applyFont="1" applyFill="1" applyBorder="1" applyAlignment="1">
      <alignment horizontal="right" wrapText="1"/>
    </xf>
    <xf numFmtId="2" fontId="0" fillId="0" borderId="15" xfId="59" applyNumberFormat="1" applyFont="1" applyFill="1" applyBorder="1" applyAlignment="1">
      <alignment horizontal="right" wrapText="1"/>
    </xf>
    <xf numFmtId="0" fontId="0" fillId="0" borderId="20" xfId="0" applyFill="1" applyBorder="1" applyAlignment="1">
      <alignment wrapText="1"/>
    </xf>
    <xf numFmtId="2" fontId="0" fillId="0" borderId="21" xfId="59" applyNumberFormat="1" applyFont="1" applyFill="1" applyBorder="1" applyAlignment="1">
      <alignment wrapText="1"/>
    </xf>
    <xf numFmtId="0" fontId="0" fillId="0" borderId="27" xfId="0" applyFill="1" applyBorder="1" applyAlignment="1">
      <alignment wrapText="1"/>
    </xf>
    <xf numFmtId="2" fontId="0" fillId="0" borderId="25" xfId="0" applyNumberFormat="1" applyFill="1" applyBorder="1" applyAlignment="1">
      <alignment wrapText="1"/>
    </xf>
    <xf numFmtId="2" fontId="0" fillId="0" borderId="25" xfId="55" applyNumberFormat="1" applyFont="1" applyFill="1" applyBorder="1" applyAlignment="1">
      <alignment wrapText="1"/>
    </xf>
    <xf numFmtId="2" fontId="0" fillId="0" borderId="26" xfId="59" applyNumberFormat="1" applyFont="1" applyFill="1" applyBorder="1" applyAlignment="1">
      <alignment horizontal="right" wrapText="1"/>
    </xf>
    <xf numFmtId="0" fontId="3" fillId="0" borderId="27" xfId="0" applyFont="1" applyFill="1" applyBorder="1" applyAlignment="1">
      <alignment wrapText="1"/>
    </xf>
    <xf numFmtId="0" fontId="13" fillId="0" borderId="11" xfId="0" applyFont="1" applyFill="1" applyBorder="1" applyAlignment="1">
      <alignment wrapText="1"/>
    </xf>
    <xf numFmtId="2" fontId="13" fillId="0" borderId="10" xfId="0" applyNumberFormat="1" applyFont="1" applyFill="1" applyBorder="1" applyAlignment="1">
      <alignment wrapText="1"/>
    </xf>
    <xf numFmtId="2" fontId="13" fillId="0" borderId="10" xfId="55" applyNumberFormat="1" applyFont="1" applyFill="1" applyBorder="1" applyAlignment="1">
      <alignment wrapText="1"/>
    </xf>
    <xf numFmtId="2" fontId="13" fillId="0" borderId="12" xfId="59" applyNumberFormat="1" applyFont="1" applyFill="1" applyBorder="1" applyAlignment="1">
      <alignment horizontal="right" wrapText="1"/>
    </xf>
    <xf numFmtId="2" fontId="13" fillId="0" borderId="10" xfId="59" applyNumberFormat="1" applyFont="1" applyFill="1" applyBorder="1" applyAlignment="1">
      <alignment horizontal="right" wrapText="1"/>
    </xf>
    <xf numFmtId="2" fontId="13" fillId="0" borderId="10" xfId="59" applyNumberFormat="1" applyFont="1" applyFill="1" applyBorder="1" applyAlignment="1">
      <alignment wrapText="1"/>
    </xf>
    <xf numFmtId="2" fontId="0" fillId="0" borderId="10" xfId="55" applyNumberFormat="1" applyFont="1" applyFill="1" applyBorder="1" applyAlignment="1">
      <alignment wrapText="1"/>
    </xf>
    <xf numFmtId="2" fontId="0" fillId="0" borderId="12" xfId="59" applyNumberFormat="1" applyFont="1" applyFill="1" applyBorder="1" applyAlignment="1">
      <alignment horizontal="right" wrapText="1"/>
    </xf>
    <xf numFmtId="2" fontId="4" fillId="0" borderId="10" xfId="55" applyNumberFormat="1" applyFont="1" applyFill="1" applyBorder="1" applyAlignment="1">
      <alignment wrapText="1"/>
    </xf>
    <xf numFmtId="2" fontId="4" fillId="0" borderId="12" xfId="59" applyNumberFormat="1" applyFont="1" applyFill="1" applyBorder="1" applyAlignment="1">
      <alignment horizontal="right" wrapText="1"/>
    </xf>
    <xf numFmtId="0" fontId="13" fillId="0" borderId="11" xfId="0" applyFont="1" applyFill="1" applyBorder="1" applyAlignment="1">
      <alignment horizontal="left" wrapText="1"/>
    </xf>
    <xf numFmtId="0" fontId="0" fillId="0" borderId="29" xfId="0" applyFill="1" applyBorder="1" applyAlignment="1">
      <alignment wrapText="1"/>
    </xf>
    <xf numFmtId="2" fontId="0" fillId="0" borderId="30" xfId="55" applyNumberFormat="1" applyFont="1" applyFill="1" applyBorder="1" applyAlignment="1">
      <alignment wrapText="1"/>
    </xf>
    <xf numFmtId="2" fontId="0" fillId="0" borderId="31" xfId="59" applyNumberFormat="1" applyFont="1" applyFill="1" applyBorder="1" applyAlignment="1">
      <alignment horizontal="right"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 horizontal="right" wrapText="1"/>
    </xf>
    <xf numFmtId="2" fontId="0" fillId="0" borderId="32" xfId="59" applyNumberFormat="1" applyFont="1" applyFill="1" applyBorder="1" applyAlignment="1">
      <alignment horizontal="right" wrapText="1"/>
    </xf>
    <xf numFmtId="2" fontId="4" fillId="0" borderId="10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left" wrapText="1"/>
    </xf>
    <xf numFmtId="2" fontId="0" fillId="0" borderId="10" xfId="59" applyNumberFormat="1" applyFont="1" applyFill="1" applyBorder="1" applyAlignment="1">
      <alignment horizontal="right" wrapText="1"/>
    </xf>
    <xf numFmtId="2" fontId="0" fillId="0" borderId="10" xfId="0" applyNumberFormat="1" applyFont="1" applyFill="1" applyBorder="1" applyAlignment="1">
      <alignment wrapText="1"/>
    </xf>
    <xf numFmtId="2" fontId="0" fillId="0" borderId="10" xfId="59" applyNumberFormat="1" applyFont="1" applyFill="1" applyBorder="1" applyAlignment="1">
      <alignment horizontal="right" wrapText="1"/>
    </xf>
    <xf numFmtId="2" fontId="0" fillId="0" borderId="10" xfId="55" applyNumberFormat="1" applyFont="1" applyFill="1" applyBorder="1" applyAlignment="1">
      <alignment wrapText="1"/>
    </xf>
    <xf numFmtId="2" fontId="0" fillId="0" borderId="12" xfId="59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right" wrapText="1"/>
    </xf>
    <xf numFmtId="0" fontId="12" fillId="0" borderId="11" xfId="0" applyFont="1" applyFill="1" applyBorder="1" applyAlignment="1">
      <alignment horizontal="right" wrapText="1"/>
    </xf>
    <xf numFmtId="2" fontId="0" fillId="0" borderId="10" xfId="59" applyNumberFormat="1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2" fontId="0" fillId="0" borderId="10" xfId="55" applyNumberFormat="1" applyFont="1" applyFill="1" applyBorder="1" applyAlignment="1">
      <alignment wrapText="1"/>
    </xf>
    <xf numFmtId="2" fontId="0" fillId="0" borderId="12" xfId="59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 horizontal="right" wrapText="1"/>
    </xf>
    <xf numFmtId="2" fontId="0" fillId="0" borderId="10" xfId="59" applyNumberFormat="1" applyFont="1" applyFill="1" applyBorder="1" applyAlignment="1">
      <alignment horizontal="right" wrapText="1"/>
    </xf>
    <xf numFmtId="2" fontId="0" fillId="0" borderId="10" xfId="59" applyNumberFormat="1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horizontal="right" wrapText="1"/>
    </xf>
    <xf numFmtId="2" fontId="4" fillId="0" borderId="10" xfId="0" applyNumberFormat="1" applyFont="1" applyFill="1" applyBorder="1" applyAlignment="1">
      <alignment wrapText="1"/>
    </xf>
    <xf numFmtId="2" fontId="10" fillId="0" borderId="12" xfId="59" applyNumberFormat="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41" fontId="0" fillId="0" borderId="0" xfId="59" applyFont="1" applyFill="1" applyAlignment="1">
      <alignment wrapText="1"/>
    </xf>
    <xf numFmtId="41" fontId="0" fillId="0" borderId="0" xfId="59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2" fontId="0" fillId="0" borderId="15" xfId="0" applyNumberFormat="1" applyFont="1" applyFill="1" applyBorder="1" applyAlignment="1">
      <alignment horizontal="right" wrapText="1"/>
    </xf>
    <xf numFmtId="2" fontId="0" fillId="0" borderId="10" xfId="0" applyNumberFormat="1" applyFont="1" applyFill="1" applyBorder="1" applyAlignment="1">
      <alignment horizontal="right" shrinkToFit="1"/>
    </xf>
    <xf numFmtId="4" fontId="0" fillId="0" borderId="19" xfId="0" applyNumberFormat="1" applyFont="1" applyFill="1" applyBorder="1" applyAlignment="1">
      <alignment horizontal="right" shrinkToFit="1"/>
    </xf>
    <xf numFmtId="2" fontId="0" fillId="0" borderId="25" xfId="0" applyNumberFormat="1" applyFont="1" applyFill="1" applyBorder="1" applyAlignment="1">
      <alignment horizontal="right" wrapText="1"/>
    </xf>
    <xf numFmtId="2" fontId="0" fillId="0" borderId="25" xfId="59" applyNumberFormat="1" applyFont="1" applyFill="1" applyBorder="1" applyAlignment="1">
      <alignment horizontal="right" wrapText="1"/>
    </xf>
    <xf numFmtId="2" fontId="0" fillId="0" borderId="25" xfId="0" applyNumberFormat="1" applyFill="1" applyBorder="1" applyAlignment="1">
      <alignment horizontal="right" wrapText="1"/>
    </xf>
    <xf numFmtId="2" fontId="0" fillId="0" borderId="30" xfId="0" applyNumberFormat="1" applyFill="1" applyBorder="1" applyAlignment="1">
      <alignment wrapText="1"/>
    </xf>
    <xf numFmtId="4" fontId="14" fillId="33" borderId="10" xfId="0" applyNumberFormat="1" applyFont="1" applyFill="1" applyBorder="1" applyAlignment="1">
      <alignment wrapText="1"/>
    </xf>
    <xf numFmtId="4" fontId="14" fillId="0" borderId="10" xfId="59" applyNumberFormat="1" applyFont="1" applyFill="1" applyBorder="1" applyAlignment="1">
      <alignment horizontal="right" wrapText="1"/>
    </xf>
    <xf numFmtId="164" fontId="14" fillId="0" borderId="10" xfId="55" applyNumberFormat="1" applyFont="1" applyFill="1" applyBorder="1" applyAlignment="1">
      <alignment wrapText="1"/>
    </xf>
    <xf numFmtId="4" fontId="14" fillId="0" borderId="12" xfId="0" applyNumberFormat="1" applyFont="1" applyFill="1" applyBorder="1" applyAlignment="1">
      <alignment wrapText="1"/>
    </xf>
    <xf numFmtId="2" fontId="14" fillId="33" borderId="10" xfId="0" applyNumberFormat="1" applyFont="1" applyFill="1" applyBorder="1" applyAlignment="1">
      <alignment wrapText="1"/>
    </xf>
    <xf numFmtId="4" fontId="14" fillId="0" borderId="10" xfId="0" applyNumberFormat="1" applyFont="1" applyFill="1" applyBorder="1" applyAlignment="1">
      <alignment horizontal="right" wrapText="1"/>
    </xf>
    <xf numFmtId="2" fontId="4" fillId="0" borderId="15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2" fontId="4" fillId="0" borderId="10" xfId="59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2" fontId="0" fillId="0" borderId="33" xfId="59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wrapText="1"/>
    </xf>
    <xf numFmtId="0" fontId="14" fillId="0" borderId="11" xfId="0" applyFont="1" applyFill="1" applyBorder="1" applyAlignment="1">
      <alignment horizontal="left" wrapText="1"/>
    </xf>
    <xf numFmtId="2" fontId="14" fillId="0" borderId="10" xfId="55" applyNumberFormat="1" applyFont="1" applyFill="1" applyBorder="1" applyAlignment="1">
      <alignment wrapText="1"/>
    </xf>
    <xf numFmtId="2" fontId="14" fillId="0" borderId="12" xfId="59" applyNumberFormat="1" applyFont="1" applyFill="1" applyBorder="1" applyAlignment="1">
      <alignment horizontal="right" wrapText="1"/>
    </xf>
    <xf numFmtId="0" fontId="14" fillId="0" borderId="11" xfId="0" applyFont="1" applyFill="1" applyBorder="1" applyAlignment="1">
      <alignment wrapText="1"/>
    </xf>
    <xf numFmtId="4" fontId="14" fillId="0" borderId="10" xfId="0" applyNumberFormat="1" applyFont="1" applyFill="1" applyBorder="1" applyAlignment="1">
      <alignment wrapText="1"/>
    </xf>
    <xf numFmtId="0" fontId="15" fillId="0" borderId="11" xfId="0" applyFont="1" applyFill="1" applyBorder="1" applyAlignment="1">
      <alignment wrapText="1"/>
    </xf>
    <xf numFmtId="4" fontId="15" fillId="0" borderId="10" xfId="0" applyNumberFormat="1" applyFont="1" applyFill="1" applyBorder="1" applyAlignment="1">
      <alignment horizontal="right" wrapText="1"/>
    </xf>
    <xf numFmtId="2" fontId="15" fillId="0" borderId="10" xfId="55" applyNumberFormat="1" applyFont="1" applyFill="1" applyBorder="1" applyAlignment="1">
      <alignment wrapText="1"/>
    </xf>
    <xf numFmtId="2" fontId="15" fillId="0" borderId="12" xfId="59" applyNumberFormat="1" applyFont="1" applyFill="1" applyBorder="1" applyAlignment="1">
      <alignment horizontal="right" wrapText="1"/>
    </xf>
    <xf numFmtId="0" fontId="15" fillId="0" borderId="11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wrapText="1"/>
    </xf>
    <xf numFmtId="4" fontId="16" fillId="0" borderId="10" xfId="0" applyNumberFormat="1" applyFont="1" applyFill="1" applyBorder="1" applyAlignment="1">
      <alignment wrapText="1"/>
    </xf>
    <xf numFmtId="2" fontId="16" fillId="0" borderId="10" xfId="55" applyNumberFormat="1" applyFont="1" applyFill="1" applyBorder="1" applyAlignment="1">
      <alignment wrapText="1"/>
    </xf>
    <xf numFmtId="2" fontId="16" fillId="0" borderId="12" xfId="59" applyNumberFormat="1" applyFont="1" applyFill="1" applyBorder="1" applyAlignment="1">
      <alignment horizontal="right" wrapText="1"/>
    </xf>
    <xf numFmtId="0" fontId="17" fillId="0" borderId="11" xfId="0" applyFont="1" applyFill="1" applyBorder="1" applyAlignment="1">
      <alignment horizontal="right" wrapText="1"/>
    </xf>
    <xf numFmtId="4" fontId="18" fillId="0" borderId="10" xfId="0" applyNumberFormat="1" applyFont="1" applyFill="1" applyBorder="1" applyAlignment="1">
      <alignment horizontal="right" wrapText="1"/>
    </xf>
    <xf numFmtId="4" fontId="19" fillId="0" borderId="10" xfId="59" applyNumberFormat="1" applyFont="1" applyFill="1" applyBorder="1" applyAlignment="1">
      <alignment wrapText="1"/>
    </xf>
    <xf numFmtId="0" fontId="14" fillId="0" borderId="18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14" fillId="0" borderId="20" xfId="0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20" fillId="0" borderId="24" xfId="0" applyFont="1" applyFill="1" applyBorder="1" applyAlignment="1">
      <alignment wrapText="1"/>
    </xf>
    <xf numFmtId="0" fontId="14" fillId="0" borderId="34" xfId="0" applyFont="1" applyFill="1" applyBorder="1" applyAlignment="1">
      <alignment wrapText="1"/>
    </xf>
    <xf numFmtId="2" fontId="9" fillId="0" borderId="0" xfId="0" applyNumberFormat="1" applyFont="1" applyFill="1" applyAlignment="1">
      <alignment horizontal="center" wrapText="1"/>
    </xf>
    <xf numFmtId="41" fontId="5" fillId="0" borderId="0" xfId="59" applyFont="1" applyFill="1" applyAlignment="1">
      <alignment horizontal="center"/>
    </xf>
    <xf numFmtId="41" fontId="6" fillId="0" borderId="0" xfId="59" applyFont="1" applyFill="1" applyAlignment="1">
      <alignment horizontal="center"/>
    </xf>
    <xf numFmtId="2" fontId="14" fillId="0" borderId="0" xfId="0" applyNumberFormat="1" applyFont="1" applyFill="1" applyAlignment="1">
      <alignment horizontal="center" wrapText="1"/>
    </xf>
    <xf numFmtId="2" fontId="9" fillId="0" borderId="0" xfId="59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view="pageBreakPreview" zoomScaleNormal="75" zoomScaleSheetLayoutView="100" zoomScalePageLayoutView="0" workbookViewId="0" topLeftCell="A26">
      <selection activeCell="C54" sqref="C54"/>
    </sheetView>
  </sheetViews>
  <sheetFormatPr defaultColWidth="9.00390625" defaultRowHeight="12.75"/>
  <cols>
    <col min="1" max="1" width="106.00390625" style="4" customWidth="1"/>
    <col min="2" max="2" width="12.625" style="4" customWidth="1"/>
    <col min="3" max="3" width="16.875" style="5" customWidth="1"/>
    <col min="4" max="4" width="13.375" style="4" customWidth="1"/>
    <col min="5" max="5" width="14.625" style="1" customWidth="1"/>
    <col min="6" max="6" width="14.00390625" style="4" customWidth="1"/>
    <col min="7" max="9" width="9.125" style="4" customWidth="1"/>
    <col min="10" max="10" width="2.125" style="4" customWidth="1"/>
    <col min="11" max="16384" width="9.125" style="4" customWidth="1"/>
  </cols>
  <sheetData>
    <row r="1" spans="1:10" s="21" customFormat="1" ht="18">
      <c r="A1" s="245" t="s">
        <v>296</v>
      </c>
      <c r="B1" s="245"/>
      <c r="C1" s="245"/>
      <c r="D1" s="245"/>
      <c r="E1" s="245"/>
      <c r="F1" s="20"/>
      <c r="G1" s="20"/>
      <c r="H1" s="20"/>
      <c r="I1" s="20"/>
      <c r="J1" s="20"/>
    </row>
    <row r="2" spans="1:5" ht="13.5" thickBot="1">
      <c r="A2" s="37"/>
      <c r="B2" s="37"/>
      <c r="C2" s="38"/>
      <c r="D2" s="37"/>
      <c r="E2" s="37" t="s">
        <v>0</v>
      </c>
    </row>
    <row r="3" spans="1:5" s="23" customFormat="1" ht="96.75" customHeight="1">
      <c r="A3" s="34" t="s">
        <v>1</v>
      </c>
      <c r="B3" s="19" t="s">
        <v>255</v>
      </c>
      <c r="C3" s="32" t="s">
        <v>297</v>
      </c>
      <c r="D3" s="19" t="s">
        <v>256</v>
      </c>
      <c r="E3" s="36" t="s">
        <v>257</v>
      </c>
    </row>
    <row r="4" spans="1:5" s="66" customFormat="1" ht="10.5" customHeight="1">
      <c r="A4" s="62">
        <v>1</v>
      </c>
      <c r="B4" s="86">
        <v>2</v>
      </c>
      <c r="C4" s="63">
        <v>3</v>
      </c>
      <c r="D4" s="64">
        <v>4</v>
      </c>
      <c r="E4" s="65">
        <v>5</v>
      </c>
    </row>
    <row r="5" spans="1:5" s="69" customFormat="1" ht="12.75">
      <c r="A5" s="22" t="s">
        <v>2</v>
      </c>
      <c r="B5" s="11"/>
      <c r="C5" s="67"/>
      <c r="D5" s="31"/>
      <c r="E5" s="68"/>
    </row>
    <row r="6" spans="1:5" s="9" customFormat="1" ht="12.75" customHeight="1" hidden="1">
      <c r="A6" s="70" t="s">
        <v>25</v>
      </c>
      <c r="B6" s="71"/>
      <c r="C6" s="71" t="e">
        <f>SUM(C7,C11,C16,C19,#REF!,#REF!,C10,)</f>
        <v>#REF!</v>
      </c>
      <c r="D6" s="72" t="e">
        <f>IF(#REF!=0,"   ",C6/#REF!)</f>
        <v>#REF!</v>
      </c>
      <c r="E6" s="73" t="e">
        <f>C6-#REF!</f>
        <v>#REF!</v>
      </c>
    </row>
    <row r="7" spans="1:5" s="78" customFormat="1" ht="12.75">
      <c r="A7" s="74" t="s">
        <v>45</v>
      </c>
      <c r="B7" s="75">
        <f>SUM(B9)</f>
        <v>161600</v>
      </c>
      <c r="C7" s="75">
        <f>C9</f>
        <v>79203.23</v>
      </c>
      <c r="D7" s="76">
        <f>IF(B7=0,"   ",C7/B7*100)</f>
        <v>49.011899752475244</v>
      </c>
      <c r="E7" s="77">
        <f>C7-B7</f>
        <v>-82396.77</v>
      </c>
    </row>
    <row r="8" spans="1:5" s="69" customFormat="1" ht="12.75" customHeight="1" hidden="1">
      <c r="A8" s="43" t="s">
        <v>3</v>
      </c>
      <c r="B8" s="31">
        <v>387940</v>
      </c>
      <c r="C8" s="79">
        <v>217766</v>
      </c>
      <c r="D8" s="76" t="e">
        <f>IF(#REF!=0,"   ",C8/#REF!)</f>
        <v>#REF!</v>
      </c>
      <c r="E8" s="77" t="e">
        <f>C8-#REF!</f>
        <v>#REF!</v>
      </c>
    </row>
    <row r="9" spans="1:5" s="69" customFormat="1" ht="12.75">
      <c r="A9" s="43" t="s">
        <v>113</v>
      </c>
      <c r="B9" s="31">
        <v>161600</v>
      </c>
      <c r="C9" s="79">
        <v>79203.23</v>
      </c>
      <c r="D9" s="76">
        <f>IF(B9=0,"   ",C9/B9*100)</f>
        <v>49.011899752475244</v>
      </c>
      <c r="E9" s="77">
        <f>C9-B9</f>
        <v>-82396.77</v>
      </c>
    </row>
    <row r="10" spans="1:5" s="69" customFormat="1" ht="12.75" customHeight="1" hidden="1">
      <c r="A10" s="43" t="s">
        <v>24</v>
      </c>
      <c r="B10" s="31"/>
      <c r="C10" s="79">
        <v>175</v>
      </c>
      <c r="D10" s="76"/>
      <c r="E10" s="77"/>
    </row>
    <row r="11" spans="1:5" s="78" customFormat="1" ht="12.75" customHeight="1" hidden="1">
      <c r="A11" s="43" t="s">
        <v>4</v>
      </c>
      <c r="B11" s="31">
        <f>SUM(B12:B13)</f>
        <v>1848003</v>
      </c>
      <c r="C11" s="31">
        <f>SUM(C12:C13)</f>
        <v>1704024</v>
      </c>
      <c r="D11" s="76" t="e">
        <f>IF(#REF!=0,"   ",C11/#REF!)</f>
        <v>#REF!</v>
      </c>
      <c r="E11" s="77" t="e">
        <f>C11-#REF!</f>
        <v>#REF!</v>
      </c>
    </row>
    <row r="12" spans="1:5" s="69" customFormat="1" ht="12.75" customHeight="1" hidden="1">
      <c r="A12" s="43" t="s">
        <v>5</v>
      </c>
      <c r="B12" s="31">
        <v>17853</v>
      </c>
      <c r="C12" s="79">
        <v>13730</v>
      </c>
      <c r="D12" s="76" t="e">
        <f>IF(#REF!=0,"   ",C12/#REF!)</f>
        <v>#REF!</v>
      </c>
      <c r="E12" s="77" t="e">
        <f>C12-#REF!</f>
        <v>#REF!</v>
      </c>
    </row>
    <row r="13" spans="1:5" s="69" customFormat="1" ht="12.75" customHeight="1" hidden="1">
      <c r="A13" s="43" t="s">
        <v>6</v>
      </c>
      <c r="B13" s="31">
        <v>1830150</v>
      </c>
      <c r="C13" s="79">
        <v>1690294</v>
      </c>
      <c r="D13" s="76" t="e">
        <f>IF(#REF!=0,"   ",C13/#REF!)</f>
        <v>#REF!</v>
      </c>
      <c r="E13" s="77" t="e">
        <f>C13-#REF!</f>
        <v>#REF!</v>
      </c>
    </row>
    <row r="14" spans="1:5" s="69" customFormat="1" ht="12.75" customHeight="1">
      <c r="A14" s="74" t="s">
        <v>144</v>
      </c>
      <c r="B14" s="75">
        <f>SUM(B15)</f>
        <v>510200</v>
      </c>
      <c r="C14" s="75">
        <f>SUM(C15)</f>
        <v>297429.53</v>
      </c>
      <c r="D14" s="76">
        <f>IF(B14=0,"   ",C14/B14*100)</f>
        <v>58.296654253234024</v>
      </c>
      <c r="E14" s="77">
        <f>C14-B14</f>
        <v>-212770.46999999997</v>
      </c>
    </row>
    <row r="15" spans="1:5" s="69" customFormat="1" ht="12.75" customHeight="1">
      <c r="A15" s="43" t="s">
        <v>145</v>
      </c>
      <c r="B15" s="31">
        <v>510200</v>
      </c>
      <c r="C15" s="79">
        <v>297429.53</v>
      </c>
      <c r="D15" s="76">
        <f>IF(B15=0,"   ",C15/B15*100)</f>
        <v>58.296654253234024</v>
      </c>
      <c r="E15" s="77">
        <f>C15-B15</f>
        <v>-212770.46999999997</v>
      </c>
    </row>
    <row r="16" spans="1:5" s="78" customFormat="1" ht="12.75">
      <c r="A16" s="43" t="s">
        <v>7</v>
      </c>
      <c r="B16" s="75">
        <f>SUM(B18)</f>
        <v>82900</v>
      </c>
      <c r="C16" s="31">
        <f>SUM(C18:C18)</f>
        <v>15873.76</v>
      </c>
      <c r="D16" s="76">
        <f>IF(B16=0,"   ",C16/B16*100)</f>
        <v>19.148082026538</v>
      </c>
      <c r="E16" s="77">
        <f>C16-B16</f>
        <v>-67026.24</v>
      </c>
    </row>
    <row r="17" spans="1:5" s="69" customFormat="1" ht="12.75" customHeight="1" hidden="1">
      <c r="A17" s="43" t="s">
        <v>8</v>
      </c>
      <c r="B17" s="31">
        <v>103725</v>
      </c>
      <c r="C17" s="79">
        <v>92515</v>
      </c>
      <c r="D17" s="76" t="e">
        <f>IF(#REF!=0,"   ",C17/#REF!)</f>
        <v>#REF!</v>
      </c>
      <c r="E17" s="77" t="e">
        <f>C17-#REF!</f>
        <v>#REF!</v>
      </c>
    </row>
    <row r="18" spans="1:5" s="69" customFormat="1" ht="12.75">
      <c r="A18" s="43" t="s">
        <v>114</v>
      </c>
      <c r="B18" s="31">
        <v>82900</v>
      </c>
      <c r="C18" s="79">
        <v>15873.76</v>
      </c>
      <c r="D18" s="76">
        <f aca="true" t="shared" si="0" ref="D18:D33">IF(B18=0,"   ",C18/B18*100)</f>
        <v>19.148082026538</v>
      </c>
      <c r="E18" s="77">
        <f aca="true" t="shared" si="1" ref="E18:E33">C18-B18</f>
        <v>-67026.24</v>
      </c>
    </row>
    <row r="19" spans="1:5" s="69" customFormat="1" ht="12.75">
      <c r="A19" s="43" t="s">
        <v>9</v>
      </c>
      <c r="B19" s="31">
        <f>SUM(B20:B21)</f>
        <v>960000</v>
      </c>
      <c r="C19" s="31">
        <f>SUM(C20:C21)</f>
        <v>222494.35000000003</v>
      </c>
      <c r="D19" s="76">
        <f t="shared" si="0"/>
        <v>23.17649479166667</v>
      </c>
      <c r="E19" s="77">
        <f t="shared" si="1"/>
        <v>-737505.6499999999</v>
      </c>
    </row>
    <row r="20" spans="1:5" s="69" customFormat="1" ht="12.75">
      <c r="A20" s="43" t="s">
        <v>115</v>
      </c>
      <c r="B20" s="31">
        <v>113000</v>
      </c>
      <c r="C20" s="79">
        <v>7663.95</v>
      </c>
      <c r="D20" s="76">
        <f t="shared" si="0"/>
        <v>6.782256637168141</v>
      </c>
      <c r="E20" s="77">
        <f t="shared" si="1"/>
        <v>-105336.05</v>
      </c>
    </row>
    <row r="21" spans="1:5" s="69" customFormat="1" ht="12.75">
      <c r="A21" s="43" t="s">
        <v>173</v>
      </c>
      <c r="B21" s="31">
        <f>SUM(B22:B23)</f>
        <v>847000</v>
      </c>
      <c r="C21" s="31">
        <f>SUM(C22:C23)</f>
        <v>214830.40000000002</v>
      </c>
      <c r="D21" s="76">
        <f t="shared" si="0"/>
        <v>25.363683589138137</v>
      </c>
      <c r="E21" s="77">
        <f t="shared" si="1"/>
        <v>-632169.6</v>
      </c>
    </row>
    <row r="22" spans="1:5" s="69" customFormat="1" ht="12.75">
      <c r="A22" s="43" t="s">
        <v>174</v>
      </c>
      <c r="B22" s="31">
        <v>276100</v>
      </c>
      <c r="C22" s="79">
        <v>195031.48</v>
      </c>
      <c r="D22" s="76">
        <f t="shared" si="0"/>
        <v>70.6379862368707</v>
      </c>
      <c r="E22" s="77">
        <f t="shared" si="1"/>
        <v>-81068.51999999999</v>
      </c>
    </row>
    <row r="23" spans="1:5" s="69" customFormat="1" ht="12.75">
      <c r="A23" s="43" t="s">
        <v>175</v>
      </c>
      <c r="B23" s="31">
        <v>570900</v>
      </c>
      <c r="C23" s="79">
        <v>19798.92</v>
      </c>
      <c r="D23" s="76">
        <f t="shared" si="0"/>
        <v>3.4680189174986857</v>
      </c>
      <c r="E23" s="77">
        <f t="shared" si="1"/>
        <v>-551101.08</v>
      </c>
    </row>
    <row r="24" spans="1:5" s="69" customFormat="1" ht="19.5" customHeight="1">
      <c r="A24" s="43" t="s">
        <v>88</v>
      </c>
      <c r="B24" s="31">
        <v>0</v>
      </c>
      <c r="C24" s="31">
        <v>0</v>
      </c>
      <c r="D24" s="76" t="str">
        <f t="shared" si="0"/>
        <v>   </v>
      </c>
      <c r="E24" s="77">
        <f t="shared" si="1"/>
        <v>0</v>
      </c>
    </row>
    <row r="25" spans="1:5" s="69" customFormat="1" ht="24.75" customHeight="1">
      <c r="A25" s="43" t="s">
        <v>28</v>
      </c>
      <c r="B25" s="31">
        <f>SUM(B26:B27)</f>
        <v>281000</v>
      </c>
      <c r="C25" s="75">
        <f>SUM(C26:C27)</f>
        <v>114337.93</v>
      </c>
      <c r="D25" s="76">
        <f t="shared" si="0"/>
        <v>40.68965480427046</v>
      </c>
      <c r="E25" s="77">
        <f t="shared" si="1"/>
        <v>-166662.07</v>
      </c>
    </row>
    <row r="26" spans="1:5" s="69" customFormat="1" ht="12.75">
      <c r="A26" s="43" t="s">
        <v>163</v>
      </c>
      <c r="B26" s="31">
        <v>281000</v>
      </c>
      <c r="C26" s="79">
        <v>114337.93</v>
      </c>
      <c r="D26" s="76">
        <f t="shared" si="0"/>
        <v>40.68965480427046</v>
      </c>
      <c r="E26" s="77">
        <f t="shared" si="1"/>
        <v>-166662.07</v>
      </c>
    </row>
    <row r="27" spans="1:5" s="69" customFormat="1" ht="15.75" customHeight="1">
      <c r="A27" s="43" t="s">
        <v>30</v>
      </c>
      <c r="B27" s="31">
        <v>0</v>
      </c>
      <c r="C27" s="79">
        <v>0</v>
      </c>
      <c r="D27" s="76" t="str">
        <f t="shared" si="0"/>
        <v>   </v>
      </c>
      <c r="E27" s="77">
        <f t="shared" si="1"/>
        <v>0</v>
      </c>
    </row>
    <row r="28" spans="1:5" s="69" customFormat="1" ht="18.75" customHeight="1">
      <c r="A28" s="43" t="s">
        <v>92</v>
      </c>
      <c r="B28" s="75">
        <v>0</v>
      </c>
      <c r="C28" s="79">
        <v>0</v>
      </c>
      <c r="D28" s="76" t="str">
        <f t="shared" si="0"/>
        <v>   </v>
      </c>
      <c r="E28" s="77">
        <f t="shared" si="1"/>
        <v>0</v>
      </c>
    </row>
    <row r="29" spans="1:5" s="69" customFormat="1" ht="16.5" customHeight="1">
      <c r="A29" s="43" t="s">
        <v>78</v>
      </c>
      <c r="B29" s="75">
        <f>B30+B31</f>
        <v>382325.92</v>
      </c>
      <c r="C29" s="75">
        <f>C30+C31</f>
        <v>619754.44</v>
      </c>
      <c r="D29" s="76">
        <f t="shared" si="0"/>
        <v>162.10107857714695</v>
      </c>
      <c r="E29" s="77">
        <f t="shared" si="1"/>
        <v>237428.51999999996</v>
      </c>
    </row>
    <row r="30" spans="1:5" s="69" customFormat="1" ht="16.5" customHeight="1">
      <c r="A30" s="43" t="s">
        <v>139</v>
      </c>
      <c r="B30" s="75">
        <v>382325.92</v>
      </c>
      <c r="C30" s="75">
        <v>519264.19</v>
      </c>
      <c r="D30" s="76">
        <f t="shared" si="0"/>
        <v>135.81715568748257</v>
      </c>
      <c r="E30" s="77">
        <f t="shared" si="1"/>
        <v>136938.27000000002</v>
      </c>
    </row>
    <row r="31" spans="1:5" s="69" customFormat="1" ht="27.75" customHeight="1">
      <c r="A31" s="43" t="s">
        <v>276</v>
      </c>
      <c r="B31" s="31">
        <v>0</v>
      </c>
      <c r="C31" s="203">
        <v>100490.25</v>
      </c>
      <c r="D31" s="76" t="str">
        <f t="shared" si="0"/>
        <v>   </v>
      </c>
      <c r="E31" s="77">
        <f t="shared" si="1"/>
        <v>100490.25</v>
      </c>
    </row>
    <row r="32" spans="1:5" s="69" customFormat="1" ht="15.75" customHeight="1">
      <c r="A32" s="16" t="s">
        <v>31</v>
      </c>
      <c r="B32" s="31">
        <v>0</v>
      </c>
      <c r="C32" s="203">
        <v>0</v>
      </c>
      <c r="D32" s="76" t="str">
        <f t="shared" si="0"/>
        <v>   </v>
      </c>
      <c r="E32" s="77">
        <f t="shared" si="1"/>
        <v>0</v>
      </c>
    </row>
    <row r="33" spans="1:5" s="69" customFormat="1" ht="15" customHeight="1">
      <c r="A33" s="43" t="s">
        <v>32</v>
      </c>
      <c r="B33" s="31">
        <f>B36+B37</f>
        <v>0</v>
      </c>
      <c r="C33" s="31">
        <f>SUM(C36:C37)</f>
        <v>0</v>
      </c>
      <c r="D33" s="76" t="str">
        <f t="shared" si="0"/>
        <v>   </v>
      </c>
      <c r="E33" s="77">
        <f t="shared" si="1"/>
        <v>0</v>
      </c>
    </row>
    <row r="34" spans="1:5" s="69" customFormat="1" ht="12.75" customHeight="1" hidden="1">
      <c r="A34" s="80" t="s">
        <v>33</v>
      </c>
      <c r="B34" s="31"/>
      <c r="C34" s="81"/>
      <c r="D34" s="76" t="e">
        <f>IF(#REF!=0,"   ",C34/#REF!)</f>
        <v>#REF!</v>
      </c>
      <c r="E34" s="77" t="e">
        <f>C34-#REF!</f>
        <v>#REF!</v>
      </c>
    </row>
    <row r="35" spans="1:5" s="9" customFormat="1" ht="12.75" customHeight="1" hidden="1">
      <c r="A35" s="80" t="s">
        <v>16</v>
      </c>
      <c r="B35" s="44" t="e">
        <f>SUM(B42,#REF!,#REF!,#REF!)</f>
        <v>#REF!</v>
      </c>
      <c r="C35" s="46" t="e">
        <f>SUM(C42,#REF!,#REF!,#REF!)</f>
        <v>#REF!</v>
      </c>
      <c r="D35" s="76" t="e">
        <f>IF(#REF!=0,"   ",C35/#REF!)</f>
        <v>#REF!</v>
      </c>
      <c r="E35" s="77" t="e">
        <f>C35-#REF!</f>
        <v>#REF!</v>
      </c>
    </row>
    <row r="36" spans="1:5" s="9" customFormat="1" ht="12.75">
      <c r="A36" s="43" t="s">
        <v>138</v>
      </c>
      <c r="B36" s="96">
        <v>0</v>
      </c>
      <c r="C36" s="166">
        <v>0</v>
      </c>
      <c r="D36" s="76" t="str">
        <f>IF(B36=0,"   ",C36/B36*100)</f>
        <v>   </v>
      </c>
      <c r="E36" s="77">
        <f>C36-B36</f>
        <v>0</v>
      </c>
    </row>
    <row r="37" spans="1:5" s="9" customFormat="1" ht="15" customHeight="1">
      <c r="A37" s="43" t="s">
        <v>109</v>
      </c>
      <c r="B37" s="31">
        <v>0</v>
      </c>
      <c r="C37" s="75">
        <v>0</v>
      </c>
      <c r="D37" s="76" t="str">
        <f>IF(B37=0,"   ",C37/B37*100)</f>
        <v>   </v>
      </c>
      <c r="E37" s="77">
        <f>C37-B37</f>
        <v>0</v>
      </c>
    </row>
    <row r="38" spans="1:5" s="9" customFormat="1" ht="12.75" customHeight="1" hidden="1">
      <c r="A38" s="43" t="s">
        <v>46</v>
      </c>
      <c r="B38" s="44"/>
      <c r="C38" s="75">
        <v>0</v>
      </c>
      <c r="D38" s="76" t="e">
        <f>IF(#REF!=0,"   ",C38/#REF!)</f>
        <v>#REF!</v>
      </c>
      <c r="E38" s="77" t="e">
        <f>C38-#REF!</f>
        <v>#REF!</v>
      </c>
    </row>
    <row r="39" spans="1:5" s="9" customFormat="1" ht="0.75" customHeight="1" hidden="1">
      <c r="A39" s="101" t="s">
        <v>47</v>
      </c>
      <c r="B39" s="102">
        <v>1250</v>
      </c>
      <c r="C39" s="103"/>
      <c r="D39" s="104" t="e">
        <f>IF(#REF!=0,"   ",C39/#REF!)</f>
        <v>#REF!</v>
      </c>
      <c r="E39" s="105" t="e">
        <f>C39-#REF!</f>
        <v>#REF!</v>
      </c>
    </row>
    <row r="40" spans="1:5" s="9" customFormat="1" ht="22.5" customHeight="1">
      <c r="A40" s="216" t="s">
        <v>10</v>
      </c>
      <c r="B40" s="168">
        <f>B7+B16+B19+B24+B25+B28+B29+B33+B14+B32</f>
        <v>2378025.92</v>
      </c>
      <c r="C40" s="168">
        <f>C7+C16+C19+C24+C25+C28+C29+C33+C14+C32</f>
        <v>1349093.24</v>
      </c>
      <c r="D40" s="158">
        <f aca="true" t="shared" si="2" ref="D40:D53">IF(B40=0,"   ",C40/B40*100)</f>
        <v>56.73164571730152</v>
      </c>
      <c r="E40" s="217">
        <f aca="true" t="shared" si="3" ref="E40:E53">C40-B40</f>
        <v>-1028932.6799999999</v>
      </c>
    </row>
    <row r="41" spans="1:5" s="9" customFormat="1" ht="18.75" customHeight="1">
      <c r="A41" s="201" t="s">
        <v>147</v>
      </c>
      <c r="B41" s="202">
        <f>SUM(B42:B44,B47:B50,B53)</f>
        <v>1315900</v>
      </c>
      <c r="C41" s="202">
        <f>SUM(C42:C44,C47:C50,C53)</f>
        <v>794833</v>
      </c>
      <c r="D41" s="76">
        <f t="shared" si="2"/>
        <v>60.402234212326164</v>
      </c>
      <c r="E41" s="79">
        <f t="shared" si="3"/>
        <v>-521067</v>
      </c>
    </row>
    <row r="42" spans="1:5" s="69" customFormat="1" ht="19.5" customHeight="1">
      <c r="A42" s="106" t="s">
        <v>34</v>
      </c>
      <c r="B42" s="107">
        <v>410000</v>
      </c>
      <c r="C42" s="204">
        <v>238400</v>
      </c>
      <c r="D42" s="90">
        <f t="shared" si="2"/>
        <v>58.14634146341463</v>
      </c>
      <c r="E42" s="91">
        <f t="shared" si="3"/>
        <v>-171600</v>
      </c>
    </row>
    <row r="43" spans="1:5" s="69" customFormat="1" ht="30" customHeight="1">
      <c r="A43" s="124" t="s">
        <v>51</v>
      </c>
      <c r="B43" s="125">
        <v>71300</v>
      </c>
      <c r="C43" s="125">
        <v>43600</v>
      </c>
      <c r="D43" s="126">
        <f t="shared" si="2"/>
        <v>61.150070126227206</v>
      </c>
      <c r="E43" s="127">
        <f t="shared" si="3"/>
        <v>-27700</v>
      </c>
    </row>
    <row r="44" spans="1:5" s="69" customFormat="1" ht="30" customHeight="1">
      <c r="A44" s="124" t="s">
        <v>157</v>
      </c>
      <c r="B44" s="125">
        <f>SUM(B45:B46)</f>
        <v>4100</v>
      </c>
      <c r="C44" s="125">
        <f>SUM(C45:C46)</f>
        <v>100</v>
      </c>
      <c r="D44" s="126">
        <f t="shared" si="2"/>
        <v>2.4390243902439024</v>
      </c>
      <c r="E44" s="127">
        <f t="shared" si="3"/>
        <v>-4000</v>
      </c>
    </row>
    <row r="45" spans="1:5" s="69" customFormat="1" ht="18" customHeight="1">
      <c r="A45" s="124" t="s">
        <v>178</v>
      </c>
      <c r="B45" s="125">
        <v>100</v>
      </c>
      <c r="C45" s="125">
        <v>100</v>
      </c>
      <c r="D45" s="126">
        <f t="shared" si="2"/>
        <v>100</v>
      </c>
      <c r="E45" s="127">
        <f t="shared" si="3"/>
        <v>0</v>
      </c>
    </row>
    <row r="46" spans="1:5" s="69" customFormat="1" ht="30" customHeight="1">
      <c r="A46" s="124" t="s">
        <v>179</v>
      </c>
      <c r="B46" s="125">
        <v>4000</v>
      </c>
      <c r="C46" s="125">
        <v>0</v>
      </c>
      <c r="D46" s="126">
        <f t="shared" si="2"/>
        <v>0</v>
      </c>
      <c r="E46" s="127">
        <f t="shared" si="3"/>
        <v>-4000</v>
      </c>
    </row>
    <row r="47" spans="1:5" s="69" customFormat="1" ht="31.5" customHeight="1">
      <c r="A47" s="43" t="s">
        <v>219</v>
      </c>
      <c r="B47" s="31">
        <v>0</v>
      </c>
      <c r="C47" s="79">
        <v>0</v>
      </c>
      <c r="D47" s="126" t="str">
        <f t="shared" si="2"/>
        <v>   </v>
      </c>
      <c r="E47" s="77">
        <f>C47-B47</f>
        <v>0</v>
      </c>
    </row>
    <row r="48" spans="1:5" s="69" customFormat="1" ht="40.5" customHeight="1">
      <c r="A48" s="16" t="s">
        <v>104</v>
      </c>
      <c r="B48" s="125">
        <v>90000</v>
      </c>
      <c r="C48" s="125">
        <v>0</v>
      </c>
      <c r="D48" s="126">
        <f t="shared" si="2"/>
        <v>0</v>
      </c>
      <c r="E48" s="127">
        <f t="shared" si="3"/>
        <v>-90000</v>
      </c>
    </row>
    <row r="49" spans="1:5" s="69" customFormat="1" ht="18.75" customHeight="1">
      <c r="A49" s="16" t="s">
        <v>189</v>
      </c>
      <c r="B49" s="125">
        <v>0</v>
      </c>
      <c r="C49" s="125">
        <v>0</v>
      </c>
      <c r="D49" s="126" t="str">
        <f t="shared" si="2"/>
        <v>   </v>
      </c>
      <c r="E49" s="127">
        <f t="shared" si="3"/>
        <v>0</v>
      </c>
    </row>
    <row r="50" spans="1:5" s="69" customFormat="1" ht="18" customHeight="1">
      <c r="A50" s="43" t="s">
        <v>54</v>
      </c>
      <c r="B50" s="31">
        <f>B52+B51</f>
        <v>650500</v>
      </c>
      <c r="C50" s="31">
        <f>C52+C51</f>
        <v>422733</v>
      </c>
      <c r="D50" s="76">
        <f t="shared" si="2"/>
        <v>64.9858570330515</v>
      </c>
      <c r="E50" s="77">
        <f t="shared" si="3"/>
        <v>-227767</v>
      </c>
    </row>
    <row r="51" spans="1:5" s="69" customFormat="1" ht="18" customHeight="1">
      <c r="A51" s="56" t="s">
        <v>235</v>
      </c>
      <c r="B51" s="31">
        <v>270000</v>
      </c>
      <c r="C51" s="31">
        <v>270000</v>
      </c>
      <c r="D51" s="76">
        <f t="shared" si="2"/>
        <v>100</v>
      </c>
      <c r="E51" s="77">
        <f t="shared" si="3"/>
        <v>0</v>
      </c>
    </row>
    <row r="52" spans="1:5" s="69" customFormat="1" ht="20.25" customHeight="1">
      <c r="A52" s="56" t="s">
        <v>110</v>
      </c>
      <c r="B52" s="31">
        <v>380500</v>
      </c>
      <c r="C52" s="31">
        <v>152733</v>
      </c>
      <c r="D52" s="76">
        <f t="shared" si="2"/>
        <v>40.14007884362681</v>
      </c>
      <c r="E52" s="77">
        <f t="shared" si="3"/>
        <v>-227767</v>
      </c>
    </row>
    <row r="53" spans="1:5" s="69" customFormat="1" ht="20.25" customHeight="1">
      <c r="A53" s="16" t="s">
        <v>267</v>
      </c>
      <c r="B53" s="31">
        <v>90000</v>
      </c>
      <c r="C53" s="31">
        <v>90000</v>
      </c>
      <c r="D53" s="76">
        <f t="shared" si="2"/>
        <v>100</v>
      </c>
      <c r="E53" s="77">
        <f t="shared" si="3"/>
        <v>0</v>
      </c>
    </row>
    <row r="54" spans="1:5" s="69" customFormat="1" ht="20.25" customHeight="1">
      <c r="A54" s="30" t="s">
        <v>11</v>
      </c>
      <c r="B54" s="168">
        <f>B40+B41</f>
        <v>3693925.92</v>
      </c>
      <c r="C54" s="168">
        <f>C40+C41</f>
        <v>2143926.24</v>
      </c>
      <c r="D54" s="158">
        <f aca="true" t="shared" si="4" ref="D54:D84">IF(B54=0,"   ",C54/B54*100)</f>
        <v>58.0392321457275</v>
      </c>
      <c r="E54" s="159">
        <f aca="true" t="shared" si="5" ref="E54:E84">C54-B54</f>
        <v>-1549999.6799999997</v>
      </c>
    </row>
    <row r="55" spans="1:5" s="8" customFormat="1" ht="13.5" thickBot="1">
      <c r="A55" s="121" t="s">
        <v>12</v>
      </c>
      <c r="B55" s="122"/>
      <c r="C55" s="123"/>
      <c r="D55" s="104"/>
      <c r="E55" s="105"/>
    </row>
    <row r="56" spans="1:5" s="69" customFormat="1" ht="18.75" customHeight="1" thickBot="1">
      <c r="A56" s="113" t="s">
        <v>35</v>
      </c>
      <c r="B56" s="114">
        <f>SUM(B57,B59:B60)</f>
        <v>1034800</v>
      </c>
      <c r="C56" s="114">
        <f>SUM(C57,C59:C60)</f>
        <v>560462.2</v>
      </c>
      <c r="D56" s="108">
        <f t="shared" si="4"/>
        <v>54.16140316969462</v>
      </c>
      <c r="E56" s="109">
        <f t="shared" si="5"/>
        <v>-474337.80000000005</v>
      </c>
    </row>
    <row r="57" spans="1:5" s="69" customFormat="1" ht="17.25" customHeight="1" thickBot="1">
      <c r="A57" s="111" t="s">
        <v>36</v>
      </c>
      <c r="B57" s="112">
        <v>1034300</v>
      </c>
      <c r="C57" s="114">
        <v>560462.2</v>
      </c>
      <c r="D57" s="90">
        <f t="shared" si="4"/>
        <v>54.187585806825865</v>
      </c>
      <c r="E57" s="91">
        <f t="shared" si="5"/>
        <v>-473837.80000000005</v>
      </c>
    </row>
    <row r="58" spans="1:5" s="69" customFormat="1" ht="18" customHeight="1">
      <c r="A58" s="43" t="s">
        <v>121</v>
      </c>
      <c r="B58" s="31">
        <v>730000</v>
      </c>
      <c r="C58" s="81">
        <v>401179.39</v>
      </c>
      <c r="D58" s="76">
        <f t="shared" si="4"/>
        <v>54.95608082191781</v>
      </c>
      <c r="E58" s="77">
        <f t="shared" si="5"/>
        <v>-328820.61</v>
      </c>
    </row>
    <row r="59" spans="1:5" s="69" customFormat="1" ht="15.75" customHeight="1">
      <c r="A59" s="43" t="s">
        <v>96</v>
      </c>
      <c r="B59" s="31">
        <v>500</v>
      </c>
      <c r="C59" s="81">
        <v>0</v>
      </c>
      <c r="D59" s="76">
        <f t="shared" si="4"/>
        <v>0</v>
      </c>
      <c r="E59" s="77">
        <f t="shared" si="5"/>
        <v>-500</v>
      </c>
    </row>
    <row r="60" spans="1:5" s="69" customFormat="1" ht="12.75">
      <c r="A60" s="43" t="s">
        <v>52</v>
      </c>
      <c r="B60" s="31">
        <f>SUM(B61,B62)</f>
        <v>0</v>
      </c>
      <c r="C60" s="31">
        <f>SUM(C61,C62)</f>
        <v>0</v>
      </c>
      <c r="D60" s="76" t="str">
        <f t="shared" si="4"/>
        <v>   </v>
      </c>
      <c r="E60" s="77">
        <f t="shared" si="5"/>
        <v>0</v>
      </c>
    </row>
    <row r="61" spans="1:5" s="69" customFormat="1" ht="28.5" customHeight="1">
      <c r="A61" s="120" t="s">
        <v>166</v>
      </c>
      <c r="B61" s="102">
        <v>0</v>
      </c>
      <c r="C61" s="84">
        <v>0</v>
      </c>
      <c r="D61" s="104" t="str">
        <f t="shared" si="4"/>
        <v>   </v>
      </c>
      <c r="E61" s="105">
        <f t="shared" si="5"/>
        <v>0</v>
      </c>
    </row>
    <row r="62" spans="1:5" s="69" customFormat="1" ht="28.5" customHeight="1" thickBot="1">
      <c r="A62" s="120" t="s">
        <v>213</v>
      </c>
      <c r="B62" s="115">
        <v>0</v>
      </c>
      <c r="C62" s="89">
        <v>0</v>
      </c>
      <c r="D62" s="117" t="str">
        <f t="shared" si="4"/>
        <v>   </v>
      </c>
      <c r="E62" s="118">
        <f t="shared" si="5"/>
        <v>0</v>
      </c>
    </row>
    <row r="63" spans="1:5" s="69" customFormat="1" ht="13.5" thickBot="1">
      <c r="A63" s="113" t="s">
        <v>49</v>
      </c>
      <c r="B63" s="114">
        <f>SUM(B64)</f>
        <v>71300</v>
      </c>
      <c r="C63" s="114">
        <f>SUM(C64)</f>
        <v>41215.25</v>
      </c>
      <c r="D63" s="108">
        <f t="shared" si="4"/>
        <v>57.805399719495085</v>
      </c>
      <c r="E63" s="109">
        <f t="shared" si="5"/>
        <v>-30084.75</v>
      </c>
    </row>
    <row r="64" spans="1:5" s="69" customFormat="1" ht="20.25" customHeight="1" thickBot="1">
      <c r="A64" s="87" t="s">
        <v>108</v>
      </c>
      <c r="B64" s="115">
        <v>71300</v>
      </c>
      <c r="C64" s="89">
        <v>41215.25</v>
      </c>
      <c r="D64" s="117">
        <f t="shared" si="4"/>
        <v>57.805399719495085</v>
      </c>
      <c r="E64" s="118">
        <f t="shared" si="5"/>
        <v>-30084.75</v>
      </c>
    </row>
    <row r="65" spans="1:5" s="69" customFormat="1" ht="13.5" thickBot="1">
      <c r="A65" s="113" t="s">
        <v>37</v>
      </c>
      <c r="B65" s="114">
        <f>SUM(B66)</f>
        <v>20400</v>
      </c>
      <c r="C65" s="114">
        <f>SUM(C66)</f>
        <v>0</v>
      </c>
      <c r="D65" s="108">
        <f t="shared" si="4"/>
        <v>0</v>
      </c>
      <c r="E65" s="109">
        <f t="shared" si="5"/>
        <v>-20400</v>
      </c>
    </row>
    <row r="66" spans="1:5" s="69" customFormat="1" ht="13.5" thickBot="1">
      <c r="A66" s="87" t="s">
        <v>130</v>
      </c>
      <c r="B66" s="115">
        <v>20400</v>
      </c>
      <c r="C66" s="89">
        <v>0</v>
      </c>
      <c r="D66" s="117">
        <f t="shared" si="4"/>
        <v>0</v>
      </c>
      <c r="E66" s="118">
        <f t="shared" si="5"/>
        <v>-20400</v>
      </c>
    </row>
    <row r="67" spans="1:5" s="69" customFormat="1" ht="13.5" thickBot="1">
      <c r="A67" s="113" t="s">
        <v>38</v>
      </c>
      <c r="B67" s="114">
        <f>B68+B75+B71+B85</f>
        <v>1167200</v>
      </c>
      <c r="C67" s="114">
        <f>C68+C75+C71+C85</f>
        <v>566200</v>
      </c>
      <c r="D67" s="108">
        <f t="shared" si="4"/>
        <v>48.509252912954075</v>
      </c>
      <c r="E67" s="109">
        <f t="shared" si="5"/>
        <v>-601000</v>
      </c>
    </row>
    <row r="68" spans="1:5" s="69" customFormat="1" ht="19.5" customHeight="1" thickBot="1">
      <c r="A68" s="87" t="s">
        <v>180</v>
      </c>
      <c r="B68" s="114">
        <f>SUM(B69+B70)</f>
        <v>4000</v>
      </c>
      <c r="C68" s="114">
        <f>SUM(C69+C70)</f>
        <v>0</v>
      </c>
      <c r="D68" s="108">
        <f aca="true" t="shared" si="6" ref="D68:D74">IF(B68=0,"   ",C68/B68*100)</f>
        <v>0</v>
      </c>
      <c r="E68" s="109">
        <f aca="true" t="shared" si="7" ref="E68:E74">C68-B68</f>
        <v>-4000</v>
      </c>
    </row>
    <row r="69" spans="1:5" s="69" customFormat="1" ht="17.25" customHeight="1" thickBot="1">
      <c r="A69" s="87" t="s">
        <v>181</v>
      </c>
      <c r="B69" s="115">
        <v>4000</v>
      </c>
      <c r="C69" s="114">
        <v>0</v>
      </c>
      <c r="D69" s="108">
        <f t="shared" si="6"/>
        <v>0</v>
      </c>
      <c r="E69" s="109">
        <f t="shared" si="7"/>
        <v>-4000</v>
      </c>
    </row>
    <row r="70" spans="1:5" s="69" customFormat="1" ht="17.25" customHeight="1" thickBot="1">
      <c r="A70" s="87" t="s">
        <v>238</v>
      </c>
      <c r="B70" s="115">
        <v>0</v>
      </c>
      <c r="C70" s="114">
        <v>0</v>
      </c>
      <c r="D70" s="108"/>
      <c r="E70" s="109"/>
    </row>
    <row r="71" spans="1:5" s="69" customFormat="1" ht="17.25" customHeight="1" thickBot="1">
      <c r="A71" s="111" t="s">
        <v>206</v>
      </c>
      <c r="B71" s="114">
        <f>SUM(B72:B74)</f>
        <v>0</v>
      </c>
      <c r="C71" s="114">
        <f>SUM(C72:C74)</f>
        <v>0</v>
      </c>
      <c r="D71" s="108" t="str">
        <f t="shared" si="6"/>
        <v>   </v>
      </c>
      <c r="E71" s="109">
        <f t="shared" si="7"/>
        <v>0</v>
      </c>
    </row>
    <row r="72" spans="1:5" s="69" customFormat="1" ht="17.25" customHeight="1" thickBot="1">
      <c r="A72" s="87" t="s">
        <v>214</v>
      </c>
      <c r="B72" s="115">
        <v>0</v>
      </c>
      <c r="C72" s="115">
        <v>0</v>
      </c>
      <c r="D72" s="108" t="str">
        <f t="shared" si="6"/>
        <v>   </v>
      </c>
      <c r="E72" s="109">
        <f t="shared" si="7"/>
        <v>0</v>
      </c>
    </row>
    <row r="73" spans="1:5" s="69" customFormat="1" ht="17.25" customHeight="1" thickBot="1">
      <c r="A73" s="87" t="s">
        <v>215</v>
      </c>
      <c r="B73" s="115">
        <v>0</v>
      </c>
      <c r="C73" s="115">
        <v>0</v>
      </c>
      <c r="D73" s="108" t="str">
        <f t="shared" si="6"/>
        <v>   </v>
      </c>
      <c r="E73" s="109">
        <f t="shared" si="7"/>
        <v>0</v>
      </c>
    </row>
    <row r="74" spans="1:5" s="69" customFormat="1" ht="17.25" customHeight="1" thickBot="1">
      <c r="A74" s="87" t="s">
        <v>207</v>
      </c>
      <c r="B74" s="115">
        <v>0</v>
      </c>
      <c r="C74" s="115">
        <v>0</v>
      </c>
      <c r="D74" s="108" t="str">
        <f t="shared" si="6"/>
        <v>   </v>
      </c>
      <c r="E74" s="109">
        <f t="shared" si="7"/>
        <v>0</v>
      </c>
    </row>
    <row r="75" spans="1:5" s="69" customFormat="1" ht="18.75" customHeight="1">
      <c r="A75" s="111" t="s">
        <v>134</v>
      </c>
      <c r="B75" s="112">
        <f>SUM(B76,B80:B84)</f>
        <v>1065200</v>
      </c>
      <c r="C75" s="112">
        <f>SUM(C76,C80:C84)</f>
        <v>566200</v>
      </c>
      <c r="D75" s="90">
        <f t="shared" si="4"/>
        <v>53.15433721366879</v>
      </c>
      <c r="E75" s="91">
        <f t="shared" si="5"/>
        <v>-499000</v>
      </c>
    </row>
    <row r="76" spans="1:5" s="69" customFormat="1" ht="18.75" customHeight="1">
      <c r="A76" s="120" t="s">
        <v>277</v>
      </c>
      <c r="B76" s="134">
        <f>SUM(B77+B78+B79)</f>
        <v>540000</v>
      </c>
      <c r="C76" s="134">
        <f>SUM(C77+C78+C79)</f>
        <v>360000</v>
      </c>
      <c r="D76" s="90">
        <f>IF(B76=0,"   ",C76/B76*100)</f>
        <v>66.66666666666666</v>
      </c>
      <c r="E76" s="91">
        <f>C76-B76</f>
        <v>-180000</v>
      </c>
    </row>
    <row r="77" spans="1:5" s="69" customFormat="1" ht="33" customHeight="1">
      <c r="A77" s="120" t="s">
        <v>234</v>
      </c>
      <c r="B77" s="112">
        <v>270000</v>
      </c>
      <c r="C77" s="112">
        <v>270000</v>
      </c>
      <c r="D77" s="90">
        <f>IF(B77=0,"   ",C77/B77*100)</f>
        <v>100</v>
      </c>
      <c r="E77" s="91">
        <f>C77-B77</f>
        <v>0</v>
      </c>
    </row>
    <row r="78" spans="1:5" s="69" customFormat="1" ht="26.25" customHeight="1">
      <c r="A78" s="120" t="s">
        <v>278</v>
      </c>
      <c r="B78" s="112">
        <v>180000</v>
      </c>
      <c r="C78" s="112">
        <v>0</v>
      </c>
      <c r="D78" s="90">
        <f>IF(B78=0,"   ",C78/B78*100)</f>
        <v>0</v>
      </c>
      <c r="E78" s="91">
        <f>C78-B78</f>
        <v>-180000</v>
      </c>
    </row>
    <row r="79" spans="1:5" s="69" customFormat="1" ht="28.5" customHeight="1">
      <c r="A79" s="120" t="s">
        <v>291</v>
      </c>
      <c r="B79" s="112">
        <v>90000</v>
      </c>
      <c r="C79" s="112">
        <v>90000</v>
      </c>
      <c r="D79" s="90">
        <f>IF(B79=0,"   ",C79/B79*100)</f>
        <v>100</v>
      </c>
      <c r="E79" s="91">
        <f>C79-B79</f>
        <v>0</v>
      </c>
    </row>
    <row r="80" spans="1:5" s="69" customFormat="1" ht="19.5" customHeight="1">
      <c r="A80" s="87" t="s">
        <v>160</v>
      </c>
      <c r="B80" s="31">
        <v>0</v>
      </c>
      <c r="C80" s="31">
        <v>0</v>
      </c>
      <c r="D80" s="90" t="str">
        <f t="shared" si="4"/>
        <v>   </v>
      </c>
      <c r="E80" s="91">
        <f t="shared" si="5"/>
        <v>0</v>
      </c>
    </row>
    <row r="81" spans="1:5" s="69" customFormat="1" ht="19.5" customHeight="1">
      <c r="A81" s="87" t="s">
        <v>156</v>
      </c>
      <c r="B81" s="31">
        <v>0</v>
      </c>
      <c r="C81" s="31">
        <v>0</v>
      </c>
      <c r="D81" s="90" t="str">
        <f t="shared" si="4"/>
        <v>   </v>
      </c>
      <c r="E81" s="91">
        <f t="shared" si="5"/>
        <v>0</v>
      </c>
    </row>
    <row r="82" spans="1:5" s="69" customFormat="1" ht="19.5" customHeight="1">
      <c r="A82" s="87" t="s">
        <v>158</v>
      </c>
      <c r="B82" s="31">
        <v>11500</v>
      </c>
      <c r="C82" s="31">
        <v>0</v>
      </c>
      <c r="D82" s="90">
        <f t="shared" si="4"/>
        <v>0</v>
      </c>
      <c r="E82" s="167">
        <f t="shared" si="5"/>
        <v>-11500</v>
      </c>
    </row>
    <row r="83" spans="1:5" s="69" customFormat="1" ht="25.5">
      <c r="A83" s="82" t="s">
        <v>135</v>
      </c>
      <c r="B83" s="31">
        <v>380500</v>
      </c>
      <c r="C83" s="31">
        <v>144935</v>
      </c>
      <c r="D83" s="76">
        <f t="shared" si="4"/>
        <v>38.090670170827856</v>
      </c>
      <c r="E83" s="79">
        <f t="shared" si="5"/>
        <v>-235565</v>
      </c>
    </row>
    <row r="84" spans="1:5" s="69" customFormat="1" ht="25.5">
      <c r="A84" s="82" t="s">
        <v>136</v>
      </c>
      <c r="B84" s="31">
        <v>133200</v>
      </c>
      <c r="C84" s="31">
        <v>61265</v>
      </c>
      <c r="D84" s="76">
        <f t="shared" si="4"/>
        <v>45.99474474474474</v>
      </c>
      <c r="E84" s="79">
        <f t="shared" si="5"/>
        <v>-71935</v>
      </c>
    </row>
    <row r="85" spans="1:5" s="69" customFormat="1" ht="12.75">
      <c r="A85" s="111" t="s">
        <v>217</v>
      </c>
      <c r="B85" s="31">
        <f>SUM(B86+B87)</f>
        <v>98000</v>
      </c>
      <c r="C85" s="31">
        <f>SUM(C86+C87)</f>
        <v>0</v>
      </c>
      <c r="D85" s="76">
        <f>IF(B85=0,"   ",C85/B85*100)</f>
        <v>0</v>
      </c>
      <c r="E85" s="79">
        <f>C85-B85</f>
        <v>-98000</v>
      </c>
    </row>
    <row r="86" spans="1:5" s="69" customFormat="1" ht="25.5">
      <c r="A86" s="87" t="s">
        <v>218</v>
      </c>
      <c r="B86" s="31">
        <v>43000</v>
      </c>
      <c r="C86" s="31">
        <v>0</v>
      </c>
      <c r="D86" s="76">
        <f>IF(B86=0,"   ",C86/B86*100)</f>
        <v>0</v>
      </c>
      <c r="E86" s="79">
        <f>C86-B86</f>
        <v>-43000</v>
      </c>
    </row>
    <row r="87" spans="1:5" s="69" customFormat="1" ht="26.25" thickBot="1">
      <c r="A87" s="87" t="s">
        <v>295</v>
      </c>
      <c r="B87" s="31">
        <v>55000</v>
      </c>
      <c r="C87" s="31">
        <v>0</v>
      </c>
      <c r="D87" s="76">
        <f>IF(B87=0,"   ",C87/B87*100)</f>
        <v>0</v>
      </c>
      <c r="E87" s="79">
        <f>C87-B87</f>
        <v>-55000</v>
      </c>
    </row>
    <row r="88" spans="1:5" s="69" customFormat="1" ht="13.5" thickBot="1">
      <c r="A88" s="113" t="s">
        <v>13</v>
      </c>
      <c r="B88" s="31">
        <f>B96+B91+B93+B101</f>
        <v>503025.92000000004</v>
      </c>
      <c r="C88" s="31">
        <f>C96+C91+C93+C101</f>
        <v>176312.73</v>
      </c>
      <c r="D88" s="76">
        <f>IF(B88=0,"   ",C88/B88*100)</f>
        <v>35.05042642733003</v>
      </c>
      <c r="E88" s="79">
        <f>C88-B88</f>
        <v>-326713.19000000006</v>
      </c>
    </row>
    <row r="89" spans="1:5" s="69" customFormat="1" ht="12.75" customHeight="1" hidden="1">
      <c r="A89" s="111" t="s">
        <v>40</v>
      </c>
      <c r="B89" s="112" t="e">
        <f>SUM(#REF!,B96,#REF!)</f>
        <v>#REF!</v>
      </c>
      <c r="C89" s="112" t="e">
        <f>SUM(#REF!,C96,#REF!)</f>
        <v>#REF!</v>
      </c>
      <c r="D89" s="90" t="e">
        <f>IF(#REF!=0,"   ",C89/#REF!)</f>
        <v>#REF!</v>
      </c>
      <c r="E89" s="91" t="e">
        <f>C89-#REF!</f>
        <v>#REF!</v>
      </c>
    </row>
    <row r="90" spans="1:5" s="69" customFormat="1" ht="12.75" customHeight="1" hidden="1">
      <c r="A90" s="43" t="s">
        <v>18</v>
      </c>
      <c r="B90" s="31">
        <v>851563</v>
      </c>
      <c r="C90" s="79">
        <v>851563</v>
      </c>
      <c r="D90" s="76" t="e">
        <f>IF(#REF!=0,"   ",C90/#REF!)</f>
        <v>#REF!</v>
      </c>
      <c r="E90" s="77" t="e">
        <f>C90-#REF!</f>
        <v>#REF!</v>
      </c>
    </row>
    <row r="91" spans="1:5" s="69" customFormat="1" ht="12.75" customHeight="1">
      <c r="A91" s="43" t="s">
        <v>167</v>
      </c>
      <c r="B91" s="31">
        <f>SUM(B92)</f>
        <v>0</v>
      </c>
      <c r="C91" s="31">
        <f>SUM(C92)</f>
        <v>0</v>
      </c>
      <c r="D91" s="76" t="str">
        <f>IF(B91=0,"   ",C91/B91*100)</f>
        <v>   </v>
      </c>
      <c r="E91" s="79">
        <f>C91-B91</f>
        <v>0</v>
      </c>
    </row>
    <row r="92" spans="1:5" s="69" customFormat="1" ht="12.75" customHeight="1">
      <c r="A92" s="43" t="s">
        <v>168</v>
      </c>
      <c r="B92" s="31">
        <v>0</v>
      </c>
      <c r="C92" s="31">
        <v>0</v>
      </c>
      <c r="D92" s="76" t="str">
        <f>IF(B92=0,"   ",C92/B92*100)</f>
        <v>   </v>
      </c>
      <c r="E92" s="79">
        <f>C92-B92</f>
        <v>0</v>
      </c>
    </row>
    <row r="93" spans="1:5" s="69" customFormat="1" ht="12.75" customHeight="1">
      <c r="A93" s="43" t="s">
        <v>159</v>
      </c>
      <c r="B93" s="31">
        <f>SUM(B94+B95)</f>
        <v>70319.51999999999</v>
      </c>
      <c r="C93" s="31">
        <f>SUM(C94+C95)</f>
        <v>60119.52</v>
      </c>
      <c r="D93" s="76">
        <f>IF(B93=0,"   ",C93/B93*100)</f>
        <v>85.49478153434495</v>
      </c>
      <c r="E93" s="79">
        <f>C93-B93</f>
        <v>-10199.999999999993</v>
      </c>
    </row>
    <row r="94" spans="1:5" s="69" customFormat="1" ht="12.75" customHeight="1">
      <c r="A94" s="16" t="s">
        <v>170</v>
      </c>
      <c r="B94" s="31">
        <v>53025.92</v>
      </c>
      <c r="C94" s="31">
        <v>42825.92</v>
      </c>
      <c r="D94" s="76">
        <f>IF(B94=0,"   ",C94/B94*100)</f>
        <v>80.76412441311722</v>
      </c>
      <c r="E94" s="79">
        <f>C94-B94</f>
        <v>-10200</v>
      </c>
    </row>
    <row r="95" spans="1:5" s="69" customFormat="1" ht="12.75" customHeight="1">
      <c r="A95" s="16" t="s">
        <v>265</v>
      </c>
      <c r="B95" s="31">
        <v>17293.6</v>
      </c>
      <c r="C95" s="31">
        <v>17293.6</v>
      </c>
      <c r="D95" s="76">
        <f>IF(B95=0,"   ",C95/B95*100)</f>
        <v>100</v>
      </c>
      <c r="E95" s="219">
        <f>C95-B95</f>
        <v>0</v>
      </c>
    </row>
    <row r="96" spans="1:5" s="69" customFormat="1" ht="12.75">
      <c r="A96" s="43" t="s">
        <v>58</v>
      </c>
      <c r="B96" s="31">
        <f>SUM(B97:B99)</f>
        <v>432706.4</v>
      </c>
      <c r="C96" s="31">
        <f>SUM(C97:C99)</f>
        <v>116193.21</v>
      </c>
      <c r="D96" s="76">
        <f aca="true" t="shared" si="8" ref="D96:D106">IF(B96=0,"   ",C96/B96*100)</f>
        <v>26.852667305128836</v>
      </c>
      <c r="E96" s="77">
        <f aca="true" t="shared" si="9" ref="E96:E106">C96-B96</f>
        <v>-316513.19</v>
      </c>
    </row>
    <row r="97" spans="1:5" s="69" customFormat="1" ht="15" customHeight="1">
      <c r="A97" s="43" t="s">
        <v>56</v>
      </c>
      <c r="B97" s="31">
        <v>235000</v>
      </c>
      <c r="C97" s="79">
        <v>98526.46</v>
      </c>
      <c r="D97" s="76">
        <f t="shared" si="8"/>
        <v>41.92615319148936</v>
      </c>
      <c r="E97" s="77">
        <f t="shared" si="9"/>
        <v>-136473.53999999998</v>
      </c>
    </row>
    <row r="98" spans="1:5" s="69" customFormat="1" ht="32.25" customHeight="1">
      <c r="A98" s="120" t="s">
        <v>182</v>
      </c>
      <c r="B98" s="102">
        <v>140000</v>
      </c>
      <c r="C98" s="84">
        <v>0</v>
      </c>
      <c r="D98" s="104">
        <f t="shared" si="8"/>
        <v>0</v>
      </c>
      <c r="E98" s="105">
        <f t="shared" si="9"/>
        <v>-140000</v>
      </c>
    </row>
    <row r="99" spans="1:5" s="69" customFormat="1" ht="17.25" customHeight="1">
      <c r="A99" s="82" t="s">
        <v>57</v>
      </c>
      <c r="B99" s="102">
        <v>57706.4</v>
      </c>
      <c r="C99" s="110">
        <v>17666.75</v>
      </c>
      <c r="D99" s="104">
        <f t="shared" si="8"/>
        <v>30.61488846990975</v>
      </c>
      <c r="E99" s="105">
        <f t="shared" si="9"/>
        <v>-40039.65</v>
      </c>
    </row>
    <row r="100" spans="1:5" s="69" customFormat="1" ht="17.25" customHeight="1">
      <c r="A100" s="87" t="s">
        <v>233</v>
      </c>
      <c r="B100" s="115">
        <v>0</v>
      </c>
      <c r="C100" s="116">
        <v>0</v>
      </c>
      <c r="D100" s="117" t="str">
        <f t="shared" si="8"/>
        <v>   </v>
      </c>
      <c r="E100" s="118">
        <f t="shared" si="9"/>
        <v>0</v>
      </c>
    </row>
    <row r="101" spans="1:5" s="69" customFormat="1" ht="17.25" customHeight="1" thickBot="1">
      <c r="A101" s="16" t="s">
        <v>95</v>
      </c>
      <c r="B101" s="115">
        <v>0</v>
      </c>
      <c r="C101" s="116">
        <v>0</v>
      </c>
      <c r="D101" s="117" t="str">
        <f t="shared" si="8"/>
        <v>   </v>
      </c>
      <c r="E101" s="118">
        <f t="shared" si="9"/>
        <v>0</v>
      </c>
    </row>
    <row r="102" spans="1:5" s="69" customFormat="1" ht="15" customHeight="1" thickBot="1">
      <c r="A102" s="113" t="s">
        <v>17</v>
      </c>
      <c r="B102" s="114">
        <v>8000</v>
      </c>
      <c r="C102" s="114">
        <v>0</v>
      </c>
      <c r="D102" s="108">
        <f t="shared" si="8"/>
        <v>0</v>
      </c>
      <c r="E102" s="109">
        <f t="shared" si="9"/>
        <v>-8000</v>
      </c>
    </row>
    <row r="103" spans="1:5" s="69" customFormat="1" ht="13.5" thickBot="1">
      <c r="A103" s="113" t="s">
        <v>41</v>
      </c>
      <c r="B103" s="205">
        <f>SUM(B104)</f>
        <v>881600</v>
      </c>
      <c r="C103" s="114">
        <f>SUM(C104)</f>
        <v>664100</v>
      </c>
      <c r="D103" s="108">
        <f t="shared" si="8"/>
        <v>75.32894736842105</v>
      </c>
      <c r="E103" s="109">
        <f t="shared" si="9"/>
        <v>-217500</v>
      </c>
    </row>
    <row r="104" spans="1:5" s="69" customFormat="1" ht="13.5" thickBot="1">
      <c r="A104" s="111" t="s">
        <v>42</v>
      </c>
      <c r="B104" s="112">
        <v>881600</v>
      </c>
      <c r="C104" s="119">
        <v>664100</v>
      </c>
      <c r="D104" s="90">
        <f t="shared" si="8"/>
        <v>75.32894736842105</v>
      </c>
      <c r="E104" s="91">
        <f t="shared" si="9"/>
        <v>-217500</v>
      </c>
    </row>
    <row r="105" spans="1:5" s="69" customFormat="1" ht="19.5" customHeight="1" thickBot="1">
      <c r="A105" s="113" t="s">
        <v>125</v>
      </c>
      <c r="B105" s="205">
        <f>SUM(B106)</f>
        <v>7600</v>
      </c>
      <c r="C105" s="205">
        <f>SUM(C106)</f>
        <v>0</v>
      </c>
      <c r="D105" s="108">
        <f t="shared" si="8"/>
        <v>0</v>
      </c>
      <c r="E105" s="109">
        <f t="shared" si="9"/>
        <v>-7600</v>
      </c>
    </row>
    <row r="106" spans="1:5" s="69" customFormat="1" ht="16.5" customHeight="1">
      <c r="A106" s="87" t="s">
        <v>43</v>
      </c>
      <c r="B106" s="115">
        <v>7600</v>
      </c>
      <c r="C106" s="116">
        <v>0</v>
      </c>
      <c r="D106" s="117">
        <f t="shared" si="8"/>
        <v>0</v>
      </c>
      <c r="E106" s="118">
        <f t="shared" si="9"/>
        <v>-7600</v>
      </c>
    </row>
    <row r="107" spans="1:5" s="69" customFormat="1" ht="16.5" customHeight="1">
      <c r="A107" s="30" t="s">
        <v>15</v>
      </c>
      <c r="B107" s="75">
        <f>SUM(B56,B63,B65,B67,B88,B102,B103,B105,)</f>
        <v>3693925.92</v>
      </c>
      <c r="C107" s="75">
        <f>SUM(C56,C63,C65,C67,C88,C102,C103,C105,)</f>
        <v>2008290.18</v>
      </c>
      <c r="D107" s="76">
        <f>IF(B107=0,"   ",C107/B107*100)</f>
        <v>54.36736479003347</v>
      </c>
      <c r="E107" s="77">
        <f>C107-B107</f>
        <v>-1685635.74</v>
      </c>
    </row>
    <row r="108" spans="1:5" s="69" customFormat="1" ht="12.75" customHeight="1" hidden="1">
      <c r="A108" s="87" t="s">
        <v>21</v>
      </c>
      <c r="B108" s="88"/>
      <c r="C108" s="89"/>
      <c r="D108" s="90" t="e">
        <f>IF(#REF!=0,"   ",C108/#REF!)</f>
        <v>#REF!</v>
      </c>
      <c r="E108" s="91" t="e">
        <f>C108-#REF!</f>
        <v>#REF!</v>
      </c>
    </row>
    <row r="109" spans="1:5" s="69" customFormat="1" ht="12.75" customHeight="1" hidden="1">
      <c r="A109" s="82" t="s">
        <v>22</v>
      </c>
      <c r="B109" s="83">
        <v>1122919</v>
      </c>
      <c r="C109" s="84">
        <v>815256</v>
      </c>
      <c r="D109" s="76" t="e">
        <f>IF(#REF!=0,"   ",C109/#REF!)</f>
        <v>#REF!</v>
      </c>
      <c r="E109" s="77" t="e">
        <f>C109-#REF!</f>
        <v>#REF!</v>
      </c>
    </row>
    <row r="110" spans="1:5" s="69" customFormat="1" ht="13.5" customHeight="1" hidden="1" thickBot="1">
      <c r="A110" s="82" t="s">
        <v>23</v>
      </c>
      <c r="B110" s="83">
        <v>1700000</v>
      </c>
      <c r="C110" s="110">
        <v>1700000</v>
      </c>
      <c r="D110" s="104" t="e">
        <f>IF(#REF!=0,"   ",C110/#REF!)</f>
        <v>#REF!</v>
      </c>
      <c r="E110" s="105" t="e">
        <f>C110-#REF!</f>
        <v>#REF!</v>
      </c>
    </row>
    <row r="111" spans="1:5" s="69" customFormat="1" ht="23.25" customHeight="1">
      <c r="A111" s="92" t="s">
        <v>176</v>
      </c>
      <c r="B111" s="92"/>
      <c r="C111" s="244"/>
      <c r="D111" s="244"/>
      <c r="E111" s="244"/>
    </row>
    <row r="112" spans="1:5" s="69" customFormat="1" ht="12" customHeight="1">
      <c r="A112" s="92" t="s">
        <v>165</v>
      </c>
      <c r="B112" s="92"/>
      <c r="C112" s="93" t="s">
        <v>177</v>
      </c>
      <c r="D112" s="94"/>
      <c r="E112" s="95"/>
    </row>
    <row r="113" spans="3:5" s="7" customFormat="1" ht="12.75">
      <c r="C113" s="6"/>
      <c r="E113" s="2"/>
    </row>
    <row r="114" spans="3:5" s="7" customFormat="1" ht="12.75">
      <c r="C114" s="6"/>
      <c r="E114" s="2"/>
    </row>
    <row r="115" spans="3:5" s="7" customFormat="1" ht="12.75">
      <c r="C115" s="6"/>
      <c r="E115" s="2"/>
    </row>
    <row r="116" spans="3:5" s="7" customFormat="1" ht="12.75">
      <c r="C116" s="6"/>
      <c r="E116" s="2"/>
    </row>
    <row r="117" spans="3:5" s="7" customFormat="1" ht="12.75">
      <c r="C117" s="6"/>
      <c r="E117" s="2"/>
    </row>
    <row r="118" spans="3:5" s="7" customFormat="1" ht="12.75">
      <c r="C118" s="6"/>
      <c r="E118" s="2"/>
    </row>
    <row r="119" spans="3:5" s="7" customFormat="1" ht="12.75">
      <c r="C119" s="6"/>
      <c r="E119" s="2"/>
    </row>
    <row r="120" spans="3:5" s="7" customFormat="1" ht="12.75">
      <c r="C120" s="6"/>
      <c r="E120" s="2"/>
    </row>
    <row r="121" spans="3:5" s="7" customFormat="1" ht="12.75">
      <c r="C121" s="6"/>
      <c r="E121" s="2"/>
    </row>
    <row r="122" spans="3:5" s="7" customFormat="1" ht="12.75">
      <c r="C122" s="6"/>
      <c r="E122" s="2"/>
    </row>
  </sheetData>
  <sheetProtection/>
  <mergeCells count="2">
    <mergeCell ref="C111:E111"/>
    <mergeCell ref="A1:E1"/>
  </mergeCells>
  <printOptions horizontalCentered="1" verticalCentered="1"/>
  <pageMargins left="0.5905511811023623" right="0.5905511811023623" top="0.15748031496062992" bottom="0.1968503937007874" header="0.11811023622047245" footer="0.11811023622047245"/>
  <pageSetup fitToHeight="2" fitToWidth="1" horizontalDpi="600" verticalDpi="600" orientation="landscape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3"/>
  <sheetViews>
    <sheetView zoomScalePageLayoutView="0" workbookViewId="0" topLeftCell="A15">
      <selection activeCell="C32" sqref="C32"/>
    </sheetView>
  </sheetViews>
  <sheetFormatPr defaultColWidth="9.00390625" defaultRowHeight="12.75"/>
  <cols>
    <col min="1" max="1" width="102.00390625" style="0" customWidth="1"/>
    <col min="2" max="2" width="16.125" style="0" customWidth="1"/>
    <col min="3" max="3" width="20.00390625" style="0" customWidth="1"/>
    <col min="4" max="4" width="19.625" style="0" customWidth="1"/>
    <col min="5" max="5" width="19.25390625" style="0" customWidth="1"/>
  </cols>
  <sheetData>
    <row r="1" spans="1:5" ht="18">
      <c r="A1" s="246" t="s">
        <v>312</v>
      </c>
      <c r="B1" s="246"/>
      <c r="C1" s="246"/>
      <c r="D1" s="246"/>
      <c r="E1" s="246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8.25" customHeight="1">
      <c r="A4" s="34" t="s">
        <v>1</v>
      </c>
      <c r="B4" s="19" t="s">
        <v>255</v>
      </c>
      <c r="C4" s="32" t="s">
        <v>301</v>
      </c>
      <c r="D4" s="19" t="s">
        <v>256</v>
      </c>
      <c r="E4" s="36" t="s">
        <v>257</v>
      </c>
    </row>
    <row r="5" spans="1:5" ht="12.75">
      <c r="A5" s="13">
        <v>1</v>
      </c>
      <c r="B5" s="85"/>
      <c r="C5" s="10">
        <v>3</v>
      </c>
      <c r="D5" s="29">
        <v>4</v>
      </c>
      <c r="E5" s="14">
        <v>5</v>
      </c>
    </row>
    <row r="6" spans="1:5" ht="24" customHeight="1">
      <c r="A6" s="22" t="s">
        <v>2</v>
      </c>
      <c r="B6" s="11"/>
      <c r="C6" s="12"/>
      <c r="D6" s="25"/>
      <c r="E6" s="15"/>
    </row>
    <row r="7" spans="1:5" ht="18.75" customHeight="1">
      <c r="A7" s="17" t="s">
        <v>45</v>
      </c>
      <c r="B7" s="24">
        <f>SUM(B8)</f>
        <v>30000</v>
      </c>
      <c r="C7" s="24">
        <f>SUM(C8)</f>
        <v>17690.17</v>
      </c>
      <c r="D7" s="26">
        <f aca="true" t="shared" si="0" ref="D7:D77">IF(B7=0,"   ",C7/B7*100)</f>
        <v>58.967233333333326</v>
      </c>
      <c r="E7" s="45">
        <f aca="true" t="shared" si="1" ref="E7:E78">C7-B7</f>
        <v>-12309.830000000002</v>
      </c>
    </row>
    <row r="8" spans="1:5" ht="12.75">
      <c r="A8" s="16" t="s">
        <v>44</v>
      </c>
      <c r="B8" s="25">
        <v>30000</v>
      </c>
      <c r="C8" s="27">
        <v>17690.17</v>
      </c>
      <c r="D8" s="26">
        <f t="shared" si="0"/>
        <v>58.967233333333326</v>
      </c>
      <c r="E8" s="45">
        <f t="shared" si="1"/>
        <v>-12309.830000000002</v>
      </c>
    </row>
    <row r="9" spans="1:5" ht="16.5" customHeight="1">
      <c r="A9" s="74" t="s">
        <v>144</v>
      </c>
      <c r="B9" s="24">
        <f>SUM(B10)</f>
        <v>354400</v>
      </c>
      <c r="C9" s="24">
        <f>SUM(C10)</f>
        <v>206582.84</v>
      </c>
      <c r="D9" s="26">
        <f t="shared" si="0"/>
        <v>58.2908690744921</v>
      </c>
      <c r="E9" s="45">
        <f t="shared" si="1"/>
        <v>-147817.16</v>
      </c>
    </row>
    <row r="10" spans="1:5" ht="12.75">
      <c r="A10" s="43" t="s">
        <v>145</v>
      </c>
      <c r="B10" s="25">
        <v>354400</v>
      </c>
      <c r="C10" s="27">
        <v>206582.84</v>
      </c>
      <c r="D10" s="26">
        <f t="shared" si="0"/>
        <v>58.2908690744921</v>
      </c>
      <c r="E10" s="45">
        <f t="shared" si="1"/>
        <v>-147817.16</v>
      </c>
    </row>
    <row r="11" spans="1:5" ht="16.5" customHeight="1">
      <c r="A11" s="16" t="s">
        <v>7</v>
      </c>
      <c r="B11" s="25">
        <f>SUM(B12:B12)</f>
        <v>700</v>
      </c>
      <c r="C11" s="25">
        <f>SUM(C12:C12)</f>
        <v>0</v>
      </c>
      <c r="D11" s="26">
        <f t="shared" si="0"/>
        <v>0</v>
      </c>
      <c r="E11" s="45">
        <f t="shared" si="1"/>
        <v>-700</v>
      </c>
    </row>
    <row r="12" spans="1:5" ht="15" customHeight="1">
      <c r="A12" s="16" t="s">
        <v>26</v>
      </c>
      <c r="B12" s="25">
        <v>700</v>
      </c>
      <c r="C12" s="27">
        <v>0</v>
      </c>
      <c r="D12" s="26">
        <f t="shared" si="0"/>
        <v>0</v>
      </c>
      <c r="E12" s="45">
        <f t="shared" si="1"/>
        <v>-700</v>
      </c>
    </row>
    <row r="13" spans="1:5" ht="15" customHeight="1">
      <c r="A13" s="16" t="s">
        <v>9</v>
      </c>
      <c r="B13" s="25">
        <f>SUM(B14:B15)</f>
        <v>232000</v>
      </c>
      <c r="C13" s="25">
        <f>SUM(C14:C15)</f>
        <v>102280.06999999999</v>
      </c>
      <c r="D13" s="26">
        <f t="shared" si="0"/>
        <v>44.08623706896551</v>
      </c>
      <c r="E13" s="45">
        <f t="shared" si="1"/>
        <v>-129719.93000000001</v>
      </c>
    </row>
    <row r="14" spans="1:5" ht="15" customHeight="1">
      <c r="A14" s="16" t="s">
        <v>112</v>
      </c>
      <c r="B14" s="25">
        <v>25000</v>
      </c>
      <c r="C14" s="27">
        <v>-1244.49</v>
      </c>
      <c r="D14" s="26">
        <f t="shared" si="0"/>
        <v>-4.97796</v>
      </c>
      <c r="E14" s="45">
        <f t="shared" si="1"/>
        <v>-26244.49</v>
      </c>
    </row>
    <row r="15" spans="1:5" ht="15.75" customHeight="1">
      <c r="A15" s="43" t="s">
        <v>173</v>
      </c>
      <c r="B15" s="31">
        <f>SUM(B16:B17)</f>
        <v>207000</v>
      </c>
      <c r="C15" s="31">
        <f>SUM(C16:C17)</f>
        <v>103524.56</v>
      </c>
      <c r="D15" s="26">
        <f t="shared" si="0"/>
        <v>50.011864734299515</v>
      </c>
      <c r="E15" s="45">
        <f t="shared" si="1"/>
        <v>-103475.44</v>
      </c>
    </row>
    <row r="16" spans="1:5" ht="15.75" customHeight="1">
      <c r="A16" s="43" t="s">
        <v>174</v>
      </c>
      <c r="B16" s="31">
        <v>110900</v>
      </c>
      <c r="C16" s="79">
        <v>96619.23</v>
      </c>
      <c r="D16" s="26">
        <f t="shared" si="0"/>
        <v>87.12284039675383</v>
      </c>
      <c r="E16" s="45">
        <f t="shared" si="1"/>
        <v>-14280.770000000004</v>
      </c>
    </row>
    <row r="17" spans="1:5" ht="15.75" customHeight="1">
      <c r="A17" s="43" t="s">
        <v>175</v>
      </c>
      <c r="B17" s="31">
        <v>96100</v>
      </c>
      <c r="C17" s="79">
        <v>6905.33</v>
      </c>
      <c r="D17" s="26">
        <f t="shared" si="0"/>
        <v>7.1855671175858475</v>
      </c>
      <c r="E17" s="45">
        <f t="shared" si="1"/>
        <v>-89194.67</v>
      </c>
    </row>
    <row r="18" spans="1:5" ht="28.5" customHeight="1">
      <c r="A18" s="16" t="s">
        <v>89</v>
      </c>
      <c r="B18" s="25">
        <v>0</v>
      </c>
      <c r="C18" s="25">
        <v>0</v>
      </c>
      <c r="D18" s="26" t="str">
        <f t="shared" si="0"/>
        <v>   </v>
      </c>
      <c r="E18" s="45">
        <f t="shared" si="1"/>
        <v>0</v>
      </c>
    </row>
    <row r="19" spans="1:5" ht="25.5" customHeight="1">
      <c r="A19" s="16" t="s">
        <v>28</v>
      </c>
      <c r="B19" s="25">
        <f>SUM(B20,B21)</f>
        <v>206000</v>
      </c>
      <c r="C19" s="25">
        <f>SUM(C20,C21)</f>
        <v>98114.65</v>
      </c>
      <c r="D19" s="26">
        <f t="shared" si="0"/>
        <v>47.628470873786405</v>
      </c>
      <c r="E19" s="45">
        <f t="shared" si="1"/>
        <v>-107885.35</v>
      </c>
    </row>
    <row r="20" spans="1:5" ht="12.75">
      <c r="A20" s="16" t="s">
        <v>162</v>
      </c>
      <c r="B20" s="25">
        <v>0</v>
      </c>
      <c r="C20" s="27">
        <v>0</v>
      </c>
      <c r="D20" s="26" t="str">
        <f t="shared" si="0"/>
        <v>   </v>
      </c>
      <c r="E20" s="45">
        <f t="shared" si="1"/>
        <v>0</v>
      </c>
    </row>
    <row r="21" spans="1:5" ht="16.5" customHeight="1">
      <c r="A21" s="43" t="s">
        <v>163</v>
      </c>
      <c r="B21" s="25">
        <v>206000</v>
      </c>
      <c r="C21" s="27">
        <v>98114.65</v>
      </c>
      <c r="D21" s="26">
        <f t="shared" si="0"/>
        <v>47.628470873786405</v>
      </c>
      <c r="E21" s="45">
        <f t="shared" si="1"/>
        <v>-107885.35</v>
      </c>
    </row>
    <row r="22" spans="1:5" ht="17.25" customHeight="1">
      <c r="A22" s="41" t="s">
        <v>92</v>
      </c>
      <c r="B22" s="25">
        <v>0</v>
      </c>
      <c r="C22" s="27">
        <v>0</v>
      </c>
      <c r="D22" s="26" t="str">
        <f t="shared" si="0"/>
        <v>   </v>
      </c>
      <c r="E22" s="45">
        <f t="shared" si="1"/>
        <v>0</v>
      </c>
    </row>
    <row r="23" spans="1:5" ht="14.25" customHeight="1">
      <c r="A23" s="16" t="s">
        <v>78</v>
      </c>
      <c r="B23" s="25">
        <f>SUM(B24)</f>
        <v>0</v>
      </c>
      <c r="C23" s="25">
        <f>SUM(C24)</f>
        <v>0</v>
      </c>
      <c r="D23" s="26" t="str">
        <f t="shared" si="0"/>
        <v>   </v>
      </c>
      <c r="E23" s="45">
        <f t="shared" si="1"/>
        <v>0</v>
      </c>
    </row>
    <row r="24" spans="1:5" ht="27" customHeight="1">
      <c r="A24" s="16" t="s">
        <v>185</v>
      </c>
      <c r="B24" s="24">
        <v>0</v>
      </c>
      <c r="C24" s="27">
        <v>0</v>
      </c>
      <c r="D24" s="26" t="str">
        <f t="shared" si="0"/>
        <v>   </v>
      </c>
      <c r="E24" s="45">
        <f t="shared" si="1"/>
        <v>0</v>
      </c>
    </row>
    <row r="25" spans="1:5" ht="15.75" customHeight="1">
      <c r="A25" s="16" t="s">
        <v>32</v>
      </c>
      <c r="B25" s="25">
        <f>SUM(B27)</f>
        <v>0</v>
      </c>
      <c r="C25" s="25">
        <f>C27+C26</f>
        <v>0</v>
      </c>
      <c r="D25" s="26" t="str">
        <f t="shared" si="0"/>
        <v>   </v>
      </c>
      <c r="E25" s="45">
        <f t="shared" si="1"/>
        <v>0</v>
      </c>
    </row>
    <row r="26" spans="1:5" ht="15.75" customHeight="1">
      <c r="A26" s="16" t="s">
        <v>128</v>
      </c>
      <c r="B26" s="25">
        <v>0</v>
      </c>
      <c r="C26" s="25">
        <v>0</v>
      </c>
      <c r="D26" s="26"/>
      <c r="E26" s="45">
        <f t="shared" si="1"/>
        <v>0</v>
      </c>
    </row>
    <row r="27" spans="1:5" ht="17.25" customHeight="1">
      <c r="A27" s="16" t="s">
        <v>50</v>
      </c>
      <c r="B27" s="25">
        <v>0</v>
      </c>
      <c r="C27" s="27">
        <v>0</v>
      </c>
      <c r="D27" s="26" t="str">
        <f t="shared" si="0"/>
        <v>   </v>
      </c>
      <c r="E27" s="45">
        <f t="shared" si="1"/>
        <v>0</v>
      </c>
    </row>
    <row r="28" spans="1:5" ht="24" customHeight="1">
      <c r="A28" s="193" t="s">
        <v>10</v>
      </c>
      <c r="B28" s="44">
        <f>B7+B11+B13+B19+B22+B23+B25+B9+B18</f>
        <v>823100</v>
      </c>
      <c r="C28" s="44">
        <f>C7+C11+C13+C19+C22+C23+C25+C9+C18</f>
        <v>424667.73</v>
      </c>
      <c r="D28" s="26">
        <f t="shared" si="0"/>
        <v>51.59369821406876</v>
      </c>
      <c r="E28" s="45">
        <f t="shared" si="1"/>
        <v>-398432.27</v>
      </c>
    </row>
    <row r="29" spans="1:5" ht="21" customHeight="1">
      <c r="A29" s="201" t="s">
        <v>147</v>
      </c>
      <c r="B29" s="215">
        <f>SUM(B30:B32,B35,B38+B39+B40)</f>
        <v>1584800</v>
      </c>
      <c r="C29" s="215">
        <f>SUM(C30:C32,C35,C38+C39+C40)</f>
        <v>462057.5</v>
      </c>
      <c r="D29" s="158">
        <f t="shared" si="0"/>
        <v>29.155571680969206</v>
      </c>
      <c r="E29" s="159">
        <f t="shared" si="1"/>
        <v>-1122742.5</v>
      </c>
    </row>
    <row r="30" spans="1:5" ht="15.75" customHeight="1">
      <c r="A30" s="17" t="s">
        <v>34</v>
      </c>
      <c r="B30" s="24">
        <v>595100</v>
      </c>
      <c r="C30" s="24">
        <v>346400</v>
      </c>
      <c r="D30" s="26">
        <f t="shared" si="0"/>
        <v>58.2087044194253</v>
      </c>
      <c r="E30" s="45">
        <f t="shared" si="1"/>
        <v>-248700</v>
      </c>
    </row>
    <row r="31" spans="1:5" ht="26.25" customHeight="1">
      <c r="A31" s="150" t="s">
        <v>51</v>
      </c>
      <c r="B31" s="151">
        <v>71200</v>
      </c>
      <c r="C31" s="154">
        <v>40500</v>
      </c>
      <c r="D31" s="152">
        <f t="shared" si="0"/>
        <v>56.88202247191011</v>
      </c>
      <c r="E31" s="153">
        <f t="shared" si="1"/>
        <v>-30700</v>
      </c>
    </row>
    <row r="32" spans="1:5" ht="29.25" customHeight="1">
      <c r="A32" s="124" t="s">
        <v>157</v>
      </c>
      <c r="B32" s="25">
        <f>SUM(B33:B34)</f>
        <v>6200</v>
      </c>
      <c r="C32" s="25">
        <f>SUM(C33:C34)</f>
        <v>1828.5</v>
      </c>
      <c r="D32" s="26">
        <f t="shared" si="0"/>
        <v>29.491935483870968</v>
      </c>
      <c r="E32" s="45">
        <f t="shared" si="1"/>
        <v>-4371.5</v>
      </c>
    </row>
    <row r="33" spans="1:5" ht="14.25" customHeight="1">
      <c r="A33" s="124" t="s">
        <v>178</v>
      </c>
      <c r="B33" s="25">
        <v>100</v>
      </c>
      <c r="C33" s="27">
        <v>100</v>
      </c>
      <c r="D33" s="26">
        <f>IF(B33=0,"   ",C33/B33*100)</f>
        <v>100</v>
      </c>
      <c r="E33" s="45">
        <f>C33-B33</f>
        <v>0</v>
      </c>
    </row>
    <row r="34" spans="1:5" ht="29.25" customHeight="1">
      <c r="A34" s="124" t="s">
        <v>179</v>
      </c>
      <c r="B34" s="25">
        <v>6100</v>
      </c>
      <c r="C34" s="27">
        <v>1728.5</v>
      </c>
      <c r="D34" s="26">
        <f>IF(B34=0,"   ",C34/B34*100)</f>
        <v>28.33606557377049</v>
      </c>
      <c r="E34" s="45">
        <f>C34-B34</f>
        <v>-4371.5</v>
      </c>
    </row>
    <row r="35" spans="1:5" ht="18" customHeight="1">
      <c r="A35" s="16" t="s">
        <v>82</v>
      </c>
      <c r="B35" s="25">
        <f>B37+B36</f>
        <v>653300</v>
      </c>
      <c r="C35" s="25">
        <f>C37</f>
        <v>73329</v>
      </c>
      <c r="D35" s="26">
        <f t="shared" si="0"/>
        <v>11.224399204041022</v>
      </c>
      <c r="E35" s="45">
        <f t="shared" si="1"/>
        <v>-579971</v>
      </c>
    </row>
    <row r="36" spans="1:5" ht="27" customHeight="1">
      <c r="A36" s="56" t="s">
        <v>235</v>
      </c>
      <c r="B36" s="25">
        <v>388500</v>
      </c>
      <c r="C36" s="25">
        <v>0</v>
      </c>
      <c r="D36" s="26">
        <f>IF(B36=0,"   ",C36/B36*100)</f>
        <v>0</v>
      </c>
      <c r="E36" s="45">
        <f>C36-B36</f>
        <v>-388500</v>
      </c>
    </row>
    <row r="37" spans="1:5" ht="17.25" customHeight="1">
      <c r="A37" s="16" t="s">
        <v>110</v>
      </c>
      <c r="B37" s="96">
        <v>264800</v>
      </c>
      <c r="C37" s="25">
        <v>73329</v>
      </c>
      <c r="D37" s="26">
        <f t="shared" si="0"/>
        <v>27.692220543806645</v>
      </c>
      <c r="E37" s="45">
        <f t="shared" si="1"/>
        <v>-191471</v>
      </c>
    </row>
    <row r="38" spans="1:5" ht="17.25" customHeight="1">
      <c r="A38" s="16" t="s">
        <v>189</v>
      </c>
      <c r="B38" s="96">
        <v>0</v>
      </c>
      <c r="C38" s="25">
        <v>0</v>
      </c>
      <c r="D38" s="26" t="str">
        <f t="shared" si="0"/>
        <v>   </v>
      </c>
      <c r="E38" s="45">
        <f t="shared" si="1"/>
        <v>0</v>
      </c>
    </row>
    <row r="39" spans="1:5" s="7" customFormat="1" ht="42" customHeight="1">
      <c r="A39" s="16" t="s">
        <v>104</v>
      </c>
      <c r="B39" s="96">
        <v>0</v>
      </c>
      <c r="C39" s="27">
        <v>0</v>
      </c>
      <c r="D39" s="26" t="str">
        <f t="shared" si="0"/>
        <v>   </v>
      </c>
      <c r="E39" s="42">
        <f t="shared" si="1"/>
        <v>0</v>
      </c>
    </row>
    <row r="40" spans="1:5" s="7" customFormat="1" ht="21" customHeight="1">
      <c r="A40" s="16" t="s">
        <v>267</v>
      </c>
      <c r="B40" s="96">
        <v>259000</v>
      </c>
      <c r="C40" s="27">
        <v>0</v>
      </c>
      <c r="D40" s="26">
        <f t="shared" si="0"/>
        <v>0</v>
      </c>
      <c r="E40" s="42">
        <f t="shared" si="1"/>
        <v>-259000</v>
      </c>
    </row>
    <row r="41" spans="1:5" ht="19.5" customHeight="1">
      <c r="A41" s="193" t="s">
        <v>11</v>
      </c>
      <c r="B41" s="168">
        <f>SUM(B28,B29,)</f>
        <v>2407900</v>
      </c>
      <c r="C41" s="168">
        <f>SUM(C28,C29,)</f>
        <v>886725.23</v>
      </c>
      <c r="D41" s="156">
        <f t="shared" si="0"/>
        <v>36.82566676356991</v>
      </c>
      <c r="E41" s="45">
        <f t="shared" si="1"/>
        <v>-1521174.77</v>
      </c>
    </row>
    <row r="42" spans="1:5" ht="14.25" customHeight="1">
      <c r="A42" s="30"/>
      <c r="B42" s="24"/>
      <c r="C42" s="25"/>
      <c r="D42" s="26" t="str">
        <f t="shared" si="0"/>
        <v>   </v>
      </c>
      <c r="E42" s="45"/>
    </row>
    <row r="43" spans="1:5" ht="12.75">
      <c r="A43" s="22" t="s">
        <v>12</v>
      </c>
      <c r="B43" s="47"/>
      <c r="C43" s="48"/>
      <c r="D43" s="26" t="str">
        <f t="shared" si="0"/>
        <v>   </v>
      </c>
      <c r="E43" s="45"/>
    </row>
    <row r="44" spans="1:5" ht="18.75" customHeight="1">
      <c r="A44" s="16" t="s">
        <v>35</v>
      </c>
      <c r="B44" s="27">
        <f>SUM(B45,B47,B48)</f>
        <v>1034200</v>
      </c>
      <c r="C44" s="27">
        <f>SUM(C45,C48)</f>
        <v>523089.21</v>
      </c>
      <c r="D44" s="26">
        <f t="shared" si="0"/>
        <v>50.57911525817057</v>
      </c>
      <c r="E44" s="45">
        <f t="shared" si="1"/>
        <v>-511110.79</v>
      </c>
    </row>
    <row r="45" spans="1:5" ht="16.5" customHeight="1">
      <c r="A45" s="16" t="s">
        <v>36</v>
      </c>
      <c r="B45" s="25">
        <v>1033700</v>
      </c>
      <c r="C45" s="25">
        <v>523089.21</v>
      </c>
      <c r="D45" s="26">
        <f t="shared" si="0"/>
        <v>50.60358034245913</v>
      </c>
      <c r="E45" s="45">
        <f t="shared" si="1"/>
        <v>-510610.79</v>
      </c>
    </row>
    <row r="46" spans="1:5" ht="12.75">
      <c r="A46" s="97" t="s">
        <v>123</v>
      </c>
      <c r="B46" s="25">
        <v>728420</v>
      </c>
      <c r="C46" s="28">
        <v>386500</v>
      </c>
      <c r="D46" s="26">
        <f t="shared" si="0"/>
        <v>53.06004777463551</v>
      </c>
      <c r="E46" s="45">
        <f t="shared" si="1"/>
        <v>-341920</v>
      </c>
    </row>
    <row r="47" spans="1:5" ht="12.75">
      <c r="A47" s="16" t="s">
        <v>103</v>
      </c>
      <c r="B47" s="25">
        <v>500</v>
      </c>
      <c r="C47" s="27">
        <v>0</v>
      </c>
      <c r="D47" s="26">
        <f t="shared" si="0"/>
        <v>0</v>
      </c>
      <c r="E47" s="45">
        <f t="shared" si="1"/>
        <v>-500</v>
      </c>
    </row>
    <row r="48" spans="1:5" ht="12.75">
      <c r="A48" s="16" t="s">
        <v>52</v>
      </c>
      <c r="B48" s="27">
        <f>SUM(B49)</f>
        <v>0</v>
      </c>
      <c r="C48" s="27">
        <f>SUM(C49)</f>
        <v>0</v>
      </c>
      <c r="D48" s="26" t="str">
        <f t="shared" si="0"/>
        <v>   </v>
      </c>
      <c r="E48" s="45">
        <f t="shared" si="1"/>
        <v>0</v>
      </c>
    </row>
    <row r="49" spans="1:5" ht="25.5">
      <c r="A49" s="120" t="s">
        <v>166</v>
      </c>
      <c r="B49" s="25">
        <v>0</v>
      </c>
      <c r="C49" s="27">
        <v>0</v>
      </c>
      <c r="D49" s="26" t="str">
        <f t="shared" si="0"/>
        <v>   </v>
      </c>
      <c r="E49" s="45">
        <f t="shared" si="1"/>
        <v>0</v>
      </c>
    </row>
    <row r="50" spans="1:5" ht="19.5" customHeight="1">
      <c r="A50" s="16" t="s">
        <v>49</v>
      </c>
      <c r="B50" s="27">
        <f>SUM(B51)</f>
        <v>71200</v>
      </c>
      <c r="C50" s="27">
        <f>SUM(C51)</f>
        <v>35946.37</v>
      </c>
      <c r="D50" s="26">
        <f t="shared" si="0"/>
        <v>50.486474719101125</v>
      </c>
      <c r="E50" s="45">
        <f t="shared" si="1"/>
        <v>-35253.63</v>
      </c>
    </row>
    <row r="51" spans="1:5" ht="19.5" customHeight="1">
      <c r="A51" s="16" t="s">
        <v>108</v>
      </c>
      <c r="B51" s="25">
        <v>71200</v>
      </c>
      <c r="C51" s="27">
        <v>35946.37</v>
      </c>
      <c r="D51" s="26">
        <f t="shared" si="0"/>
        <v>50.486474719101125</v>
      </c>
      <c r="E51" s="45">
        <f t="shared" si="1"/>
        <v>-35253.63</v>
      </c>
    </row>
    <row r="52" spans="1:5" ht="16.5" customHeight="1">
      <c r="A52" s="16" t="s">
        <v>37</v>
      </c>
      <c r="B52" s="25">
        <f>SUM(B53)</f>
        <v>400</v>
      </c>
      <c r="C52" s="27">
        <f>SUM(C53)</f>
        <v>0</v>
      </c>
      <c r="D52" s="26">
        <f t="shared" si="0"/>
        <v>0</v>
      </c>
      <c r="E52" s="45">
        <f t="shared" si="1"/>
        <v>-400</v>
      </c>
    </row>
    <row r="53" spans="1:5" ht="15" customHeight="1">
      <c r="A53" s="43" t="s">
        <v>130</v>
      </c>
      <c r="B53" s="25">
        <v>400</v>
      </c>
      <c r="C53" s="27">
        <v>0</v>
      </c>
      <c r="D53" s="26">
        <f t="shared" si="0"/>
        <v>0</v>
      </c>
      <c r="E53" s="45">
        <f t="shared" si="1"/>
        <v>-400</v>
      </c>
    </row>
    <row r="54" spans="1:5" ht="19.5" customHeight="1">
      <c r="A54" s="16" t="s">
        <v>38</v>
      </c>
      <c r="B54" s="25">
        <f>B58+B55</f>
        <v>363600</v>
      </c>
      <c r="C54" s="25">
        <f>C58+C55</f>
        <v>98999</v>
      </c>
      <c r="D54" s="26">
        <f t="shared" si="0"/>
        <v>27.22744774477448</v>
      </c>
      <c r="E54" s="45">
        <f t="shared" si="1"/>
        <v>-264601</v>
      </c>
    </row>
    <row r="55" spans="1:5" ht="19.5" customHeight="1">
      <c r="A55" s="87" t="s">
        <v>180</v>
      </c>
      <c r="B55" s="25">
        <f>SUM(B57,B56)</f>
        <v>6100</v>
      </c>
      <c r="C55" s="25">
        <f>SUM(C57,C56)</f>
        <v>0</v>
      </c>
      <c r="D55" s="26">
        <f>IF(B55=0,"   ",C55/B55*100)</f>
        <v>0</v>
      </c>
      <c r="E55" s="45">
        <f>C55-B55</f>
        <v>-6100</v>
      </c>
    </row>
    <row r="56" spans="1:5" ht="15" customHeight="1">
      <c r="A56" s="87" t="s">
        <v>188</v>
      </c>
      <c r="B56" s="25">
        <v>0</v>
      </c>
      <c r="C56" s="25">
        <v>0</v>
      </c>
      <c r="D56" s="26" t="str">
        <f>IF(B56=0,"   ",C56/B56*100)</f>
        <v>   </v>
      </c>
      <c r="E56" s="45">
        <f>C56-B56</f>
        <v>0</v>
      </c>
    </row>
    <row r="57" spans="1:5" ht="13.5" customHeight="1">
      <c r="A57" s="87" t="s">
        <v>181</v>
      </c>
      <c r="B57" s="25">
        <v>6100</v>
      </c>
      <c r="C57" s="25">
        <v>0</v>
      </c>
      <c r="D57" s="26">
        <f>IF(B57=0,"   ",C57/B57*100)</f>
        <v>0</v>
      </c>
      <c r="E57" s="45">
        <f>C57-B57</f>
        <v>-6100</v>
      </c>
    </row>
    <row r="58" spans="1:5" ht="12.75">
      <c r="A58" s="111" t="s">
        <v>134</v>
      </c>
      <c r="B58" s="25">
        <f>B59+B60+B61</f>
        <v>357500</v>
      </c>
      <c r="C58" s="25">
        <f>C59+C60+C61</f>
        <v>98999</v>
      </c>
      <c r="D58" s="26">
        <f t="shared" si="0"/>
        <v>27.692027972027972</v>
      </c>
      <c r="E58" s="45">
        <f t="shared" si="1"/>
        <v>-258501</v>
      </c>
    </row>
    <row r="59" spans="1:5" ht="19.5" customHeight="1">
      <c r="A59" s="87" t="s">
        <v>161</v>
      </c>
      <c r="B59" s="25">
        <v>0</v>
      </c>
      <c r="C59" s="25">
        <v>0</v>
      </c>
      <c r="D59" s="26" t="str">
        <f t="shared" si="0"/>
        <v>   </v>
      </c>
      <c r="E59" s="45">
        <f t="shared" si="1"/>
        <v>0</v>
      </c>
    </row>
    <row r="60" spans="1:5" ht="22.5" customHeight="1">
      <c r="A60" s="82" t="s">
        <v>135</v>
      </c>
      <c r="B60" s="25">
        <v>264800</v>
      </c>
      <c r="C60" s="25">
        <v>73329</v>
      </c>
      <c r="D60" s="26">
        <f t="shared" si="0"/>
        <v>27.692220543806645</v>
      </c>
      <c r="E60" s="45">
        <f t="shared" si="1"/>
        <v>-191471</v>
      </c>
    </row>
    <row r="61" spans="1:5" ht="25.5" customHeight="1">
      <c r="A61" s="82" t="s">
        <v>136</v>
      </c>
      <c r="B61" s="25">
        <v>92700</v>
      </c>
      <c r="C61" s="25">
        <v>25670</v>
      </c>
      <c r="D61" s="26">
        <f t="shared" si="0"/>
        <v>27.691477885652642</v>
      </c>
      <c r="E61" s="45">
        <f t="shared" si="1"/>
        <v>-67030</v>
      </c>
    </row>
    <row r="62" spans="1:5" ht="15" customHeight="1">
      <c r="A62" s="16" t="s">
        <v>13</v>
      </c>
      <c r="B62" s="25">
        <f>SUM(B68,B63)</f>
        <v>821200</v>
      </c>
      <c r="C62" s="25">
        <f>SUM(C68,C63)</f>
        <v>78080</v>
      </c>
      <c r="D62" s="26">
        <f t="shared" si="0"/>
        <v>9.50803701899659</v>
      </c>
      <c r="E62" s="45">
        <f t="shared" si="1"/>
        <v>-743120</v>
      </c>
    </row>
    <row r="63" spans="1:5" ht="15.75" customHeight="1">
      <c r="A63" s="16" t="s">
        <v>91</v>
      </c>
      <c r="B63" s="25">
        <f>B64</f>
        <v>647500</v>
      </c>
      <c r="C63" s="25">
        <f>C64</f>
        <v>0</v>
      </c>
      <c r="D63" s="26">
        <f>IF(B63=0,"   ",C63/B63*100)</f>
        <v>0</v>
      </c>
      <c r="E63" s="45">
        <f>C63-B63</f>
        <v>-647500</v>
      </c>
    </row>
    <row r="64" spans="1:5" ht="25.5" customHeight="1">
      <c r="A64" s="120" t="s">
        <v>277</v>
      </c>
      <c r="B64" s="25">
        <f>B65+B66+B67</f>
        <v>647500</v>
      </c>
      <c r="C64" s="25">
        <f>C65+C66+C67</f>
        <v>0</v>
      </c>
      <c r="D64" s="26">
        <f>IF(B64=0,"   ",C64/B64*100)</f>
        <v>0</v>
      </c>
      <c r="E64" s="45">
        <f>C64-B64</f>
        <v>-647500</v>
      </c>
    </row>
    <row r="65" spans="1:5" ht="25.5" customHeight="1">
      <c r="A65" s="120" t="s">
        <v>234</v>
      </c>
      <c r="B65" s="25">
        <v>388500</v>
      </c>
      <c r="C65" s="25">
        <v>0</v>
      </c>
      <c r="D65" s="26">
        <f>IF(B65=0,"   ",C65/B65*100)</f>
        <v>0</v>
      </c>
      <c r="E65" s="45">
        <f>C65-B65</f>
        <v>-388500</v>
      </c>
    </row>
    <row r="66" spans="1:5" ht="24.75" customHeight="1">
      <c r="A66" s="120" t="s">
        <v>268</v>
      </c>
      <c r="B66" s="25">
        <v>129500</v>
      </c>
      <c r="C66" s="25">
        <v>0</v>
      </c>
      <c r="D66" s="26">
        <f>IF(B66=0,"   ",C66/B66*100)</f>
        <v>0</v>
      </c>
      <c r="E66" s="45">
        <f>C66-B66</f>
        <v>-129500</v>
      </c>
    </row>
    <row r="67" spans="1:5" ht="25.5" customHeight="1">
      <c r="A67" s="120" t="s">
        <v>283</v>
      </c>
      <c r="B67" s="25">
        <v>129500</v>
      </c>
      <c r="C67" s="25">
        <v>0</v>
      </c>
      <c r="D67" s="26">
        <f>IF(B67=0,"   ",C67/B67*100)</f>
        <v>0</v>
      </c>
      <c r="E67" s="45">
        <f>C67-B67</f>
        <v>-129500</v>
      </c>
    </row>
    <row r="68" spans="1:5" ht="12.75">
      <c r="A68" s="16" t="s">
        <v>58</v>
      </c>
      <c r="B68" s="25">
        <f>B69+B71+B70+B72</f>
        <v>173700</v>
      </c>
      <c r="C68" s="25">
        <f>C69+C71+C70+C72</f>
        <v>78080</v>
      </c>
      <c r="D68" s="26">
        <f t="shared" si="0"/>
        <v>44.951065054691995</v>
      </c>
      <c r="E68" s="45">
        <f t="shared" si="1"/>
        <v>-95620</v>
      </c>
    </row>
    <row r="69" spans="1:5" ht="12.75">
      <c r="A69" s="16" t="s">
        <v>60</v>
      </c>
      <c r="B69" s="25">
        <v>123800</v>
      </c>
      <c r="C69" s="27">
        <v>58080</v>
      </c>
      <c r="D69" s="26">
        <f t="shared" si="0"/>
        <v>46.91437802907916</v>
      </c>
      <c r="E69" s="45">
        <f t="shared" si="1"/>
        <v>-65720</v>
      </c>
    </row>
    <row r="70" spans="1:5" ht="25.5">
      <c r="A70" s="120" t="s">
        <v>182</v>
      </c>
      <c r="B70" s="25">
        <v>0</v>
      </c>
      <c r="C70" s="27">
        <v>0</v>
      </c>
      <c r="D70" s="26" t="str">
        <f t="shared" si="0"/>
        <v>   </v>
      </c>
      <c r="E70" s="45">
        <f t="shared" si="1"/>
        <v>0</v>
      </c>
    </row>
    <row r="71" spans="1:5" ht="12.75">
      <c r="A71" s="16" t="s">
        <v>59</v>
      </c>
      <c r="B71" s="25">
        <v>49900</v>
      </c>
      <c r="C71" s="27">
        <v>20000</v>
      </c>
      <c r="D71" s="26">
        <f t="shared" si="0"/>
        <v>40.08016032064128</v>
      </c>
      <c r="E71" s="45">
        <f t="shared" si="1"/>
        <v>-29900</v>
      </c>
    </row>
    <row r="72" spans="1:5" ht="12.75">
      <c r="A72" s="175" t="s">
        <v>95</v>
      </c>
      <c r="B72" s="25">
        <v>0</v>
      </c>
      <c r="C72" s="27">
        <v>0</v>
      </c>
      <c r="D72" s="26" t="str">
        <f t="shared" si="0"/>
        <v>   </v>
      </c>
      <c r="E72" s="45">
        <f t="shared" si="1"/>
        <v>0</v>
      </c>
    </row>
    <row r="73" spans="1:5" ht="17.25" customHeight="1">
      <c r="A73" s="18" t="s">
        <v>17</v>
      </c>
      <c r="B73" s="31">
        <v>8000</v>
      </c>
      <c r="C73" s="31">
        <v>0</v>
      </c>
      <c r="D73" s="26">
        <f t="shared" si="0"/>
        <v>0</v>
      </c>
      <c r="E73" s="45">
        <f t="shared" si="1"/>
        <v>-8000</v>
      </c>
    </row>
    <row r="74" spans="1:5" ht="15" customHeight="1">
      <c r="A74" s="16" t="s">
        <v>41</v>
      </c>
      <c r="B74" s="24">
        <f>SUM(B75,)</f>
        <v>93300</v>
      </c>
      <c r="C74" s="24">
        <f>SUM(C75,)</f>
        <v>93300</v>
      </c>
      <c r="D74" s="26">
        <f t="shared" si="0"/>
        <v>100</v>
      </c>
      <c r="E74" s="45">
        <f t="shared" si="1"/>
        <v>0</v>
      </c>
    </row>
    <row r="75" spans="1:5" ht="12.75">
      <c r="A75" s="16" t="s">
        <v>42</v>
      </c>
      <c r="B75" s="25">
        <v>93300</v>
      </c>
      <c r="C75" s="27">
        <v>93300</v>
      </c>
      <c r="D75" s="26">
        <f t="shared" si="0"/>
        <v>100</v>
      </c>
      <c r="E75" s="45">
        <f t="shared" si="1"/>
        <v>0</v>
      </c>
    </row>
    <row r="76" spans="1:5" ht="18" customHeight="1">
      <c r="A76" s="16" t="s">
        <v>125</v>
      </c>
      <c r="B76" s="24">
        <f>SUM(B77,)</f>
        <v>16000</v>
      </c>
      <c r="C76" s="24">
        <f>SUM(C77,)</f>
        <v>16000</v>
      </c>
      <c r="D76" s="26">
        <f t="shared" si="0"/>
        <v>100</v>
      </c>
      <c r="E76" s="45">
        <f t="shared" si="1"/>
        <v>0</v>
      </c>
    </row>
    <row r="77" spans="1:5" ht="12.75">
      <c r="A77" s="16" t="s">
        <v>43</v>
      </c>
      <c r="B77" s="151">
        <v>16000</v>
      </c>
      <c r="C77" s="155">
        <v>16000</v>
      </c>
      <c r="D77" s="152">
        <f t="shared" si="0"/>
        <v>100</v>
      </c>
      <c r="E77" s="153">
        <f t="shared" si="1"/>
        <v>0</v>
      </c>
    </row>
    <row r="78" spans="1:5" ht="21" customHeight="1">
      <c r="A78" s="193" t="s">
        <v>15</v>
      </c>
      <c r="B78" s="24">
        <f>SUM(B44,B50,B52,B54,B62,B73,B74,B76,)</f>
        <v>2407900</v>
      </c>
      <c r="C78" s="24">
        <f>SUM(C44,C50,C52,C54,C62,C73,C74,C76,)</f>
        <v>845414.5800000001</v>
      </c>
      <c r="D78" s="26">
        <f>IF(B78=0,"   ",C78/B78*100)</f>
        <v>35.110036961667845</v>
      </c>
      <c r="E78" s="45">
        <f t="shared" si="1"/>
        <v>-1562485.42</v>
      </c>
    </row>
    <row r="79" spans="1:5" s="69" customFormat="1" ht="23.25" customHeight="1">
      <c r="A79" s="92" t="s">
        <v>176</v>
      </c>
      <c r="B79" s="92"/>
      <c r="C79" s="244"/>
      <c r="D79" s="244"/>
      <c r="E79" s="244"/>
    </row>
    <row r="80" spans="1:5" s="69" customFormat="1" ht="12" customHeight="1">
      <c r="A80" s="92" t="s">
        <v>165</v>
      </c>
      <c r="B80" s="92"/>
      <c r="C80" s="93" t="s">
        <v>177</v>
      </c>
      <c r="D80" s="94"/>
      <c r="E80" s="95"/>
    </row>
    <row r="81" spans="1:5" ht="12.75">
      <c r="A81" s="7"/>
      <c r="B81" s="7"/>
      <c r="C81" s="6"/>
      <c r="D81" s="7"/>
      <c r="E81" s="2"/>
    </row>
    <row r="82" spans="1:5" ht="12.75">
      <c r="A82" s="7"/>
      <c r="B82" s="7"/>
      <c r="C82" s="6"/>
      <c r="D82" s="7"/>
      <c r="E82" s="2"/>
    </row>
    <row r="83" spans="1:5" ht="12.75">
      <c r="A83" s="7"/>
      <c r="B83" s="7"/>
      <c r="C83" s="6"/>
      <c r="D83" s="7"/>
      <c r="E83" s="2"/>
    </row>
    <row r="84" spans="1:5" ht="12.75">
      <c r="A84" s="7"/>
      <c r="B84" s="7"/>
      <c r="C84" s="6"/>
      <c r="D84" s="7"/>
      <c r="E84" s="2"/>
    </row>
    <row r="85" spans="2:5" ht="12.75">
      <c r="B85" s="4"/>
      <c r="C85" s="4"/>
      <c r="D85" s="4"/>
      <c r="E85" s="4"/>
    </row>
    <row r="86" spans="2:5" ht="12.75">
      <c r="B86" s="4"/>
      <c r="C86" s="4"/>
      <c r="D86" s="4"/>
      <c r="E86" s="4"/>
    </row>
    <row r="87" spans="2:5" ht="12.75">
      <c r="B87" s="4"/>
      <c r="C87" s="4"/>
      <c r="D87" s="4"/>
      <c r="E87" s="4"/>
    </row>
    <row r="88" spans="2:5" ht="12.75">
      <c r="B88" s="4"/>
      <c r="C88" s="4"/>
      <c r="D88" s="4"/>
      <c r="E88" s="4"/>
    </row>
    <row r="89" spans="2:5" ht="12.75">
      <c r="B89" s="4"/>
      <c r="C89" s="4"/>
      <c r="D89" s="4"/>
      <c r="E89" s="4"/>
    </row>
    <row r="90" spans="2:5" ht="12.75">
      <c r="B90" s="4"/>
      <c r="C90" s="4"/>
      <c r="D90" s="4"/>
      <c r="E90" s="4"/>
    </row>
    <row r="91" spans="2:5" ht="12.75">
      <c r="B91" s="4"/>
      <c r="C91" s="4"/>
      <c r="D91" s="4"/>
      <c r="E91" s="4"/>
    </row>
    <row r="92" spans="2:5" ht="12.75">
      <c r="B92" s="4"/>
      <c r="C92" s="4"/>
      <c r="D92" s="4"/>
      <c r="E92" s="4"/>
    </row>
    <row r="93" spans="2:5" ht="12.75">
      <c r="B93" s="4"/>
      <c r="C93" s="4"/>
      <c r="D93" s="4"/>
      <c r="E93" s="4"/>
    </row>
  </sheetData>
  <sheetProtection/>
  <mergeCells count="2">
    <mergeCell ref="A1:E1"/>
    <mergeCell ref="C79:E79"/>
  </mergeCells>
  <printOptions/>
  <pageMargins left="1.1811023622047245" right="0.7874015748031497" top="0.5118110236220472" bottom="0.5118110236220472" header="0.5118110236220472" footer="0.5118110236220472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61"/>
  <sheetViews>
    <sheetView tabSelected="1" zoomScalePageLayoutView="0" workbookViewId="0" topLeftCell="A51">
      <selection activeCell="H48" sqref="H48"/>
    </sheetView>
  </sheetViews>
  <sheetFormatPr defaultColWidth="9.00390625" defaultRowHeight="12.75"/>
  <cols>
    <col min="1" max="1" width="58.25390625" style="0" customWidth="1"/>
    <col min="2" max="2" width="14.75390625" style="0" customWidth="1"/>
    <col min="3" max="3" width="14.375" style="0" customWidth="1"/>
    <col min="4" max="4" width="11.25390625" style="0" customWidth="1"/>
    <col min="5" max="5" width="14.25390625" style="0" customWidth="1"/>
    <col min="6" max="6" width="12.75390625" style="0" bestFit="1" customWidth="1"/>
  </cols>
  <sheetData>
    <row r="1" spans="1:5" ht="18">
      <c r="A1" s="246" t="s">
        <v>313</v>
      </c>
      <c r="B1" s="246"/>
      <c r="C1" s="246"/>
      <c r="D1" s="246"/>
      <c r="E1" s="246"/>
    </row>
    <row r="2" spans="1:5" ht="9.75" customHeight="1" thickBot="1">
      <c r="A2" s="4"/>
      <c r="B2" s="4"/>
      <c r="C2" s="49"/>
      <c r="D2" s="4"/>
      <c r="E2" s="4" t="s">
        <v>0</v>
      </c>
    </row>
    <row r="3" spans="1:5" ht="108" customHeight="1">
      <c r="A3" s="34" t="s">
        <v>1</v>
      </c>
      <c r="B3" s="19" t="s">
        <v>255</v>
      </c>
      <c r="C3" s="32" t="s">
        <v>314</v>
      </c>
      <c r="D3" s="19" t="s">
        <v>256</v>
      </c>
      <c r="E3" s="36" t="s">
        <v>257</v>
      </c>
    </row>
    <row r="4" spans="1:5" ht="12.75">
      <c r="A4" s="13">
        <v>1</v>
      </c>
      <c r="B4" s="85">
        <v>2</v>
      </c>
      <c r="C4" s="50">
        <v>3</v>
      </c>
      <c r="D4" s="29">
        <v>4</v>
      </c>
      <c r="E4" s="51">
        <v>5</v>
      </c>
    </row>
    <row r="5" spans="1:5" ht="15.75" customHeight="1">
      <c r="A5" s="22" t="s">
        <v>2</v>
      </c>
      <c r="B5" s="11"/>
      <c r="C5" s="52"/>
      <c r="D5" s="25"/>
      <c r="E5" s="53"/>
    </row>
    <row r="6" spans="1:5" ht="15">
      <c r="A6" s="221" t="s">
        <v>45</v>
      </c>
      <c r="B6" s="214">
        <f>SUM(B7)</f>
        <v>10011600</v>
      </c>
      <c r="C6" s="214">
        <f>SUM(C7)</f>
        <v>5510103.61</v>
      </c>
      <c r="D6" s="222">
        <f aca="true" t="shared" si="0" ref="D6:D32">IF(B6=0,"   ",C6/B6*100)</f>
        <v>55.03719295617084</v>
      </c>
      <c r="E6" s="223">
        <f aca="true" t="shared" si="1" ref="E6:E55">C6-B6</f>
        <v>-4501496.39</v>
      </c>
    </row>
    <row r="7" spans="1:5" ht="15">
      <c r="A7" s="224" t="s">
        <v>44</v>
      </c>
      <c r="B7" s="225">
        <f>Лист1!B9+Лист2!B7+Лист3!B7+Лист4!B8+Лист5!B8+Лист6!B8+Лист7!B8+Лист8!B8+Лист9!B8+Лист10!B8</f>
        <v>10011600</v>
      </c>
      <c r="C7" s="225">
        <f>Лист1!C9+Лист2!C7+Лист3!C7+Лист4!C8+Лист5!C8+Лист6!C8+Лист7!C8+Лист8!C8+Лист9!C8+Лист10!C8</f>
        <v>5510103.61</v>
      </c>
      <c r="D7" s="222">
        <f t="shared" si="0"/>
        <v>55.03719295617084</v>
      </c>
      <c r="E7" s="223">
        <f t="shared" si="1"/>
        <v>-4501496.39</v>
      </c>
    </row>
    <row r="8" spans="1:5" ht="45">
      <c r="A8" s="221" t="s">
        <v>144</v>
      </c>
      <c r="B8" s="214">
        <f>SUM(B9)</f>
        <v>5510000</v>
      </c>
      <c r="C8" s="214">
        <f>SUM(C9)</f>
        <v>3211989.9699999997</v>
      </c>
      <c r="D8" s="222">
        <f t="shared" si="0"/>
        <v>58.293828856624316</v>
      </c>
      <c r="E8" s="223">
        <f t="shared" si="1"/>
        <v>-2298010.0300000003</v>
      </c>
    </row>
    <row r="9" spans="1:5" ht="30">
      <c r="A9" s="224" t="s">
        <v>145</v>
      </c>
      <c r="B9" s="225">
        <f>Лист1!B15+Лист2!B9+Лист3!B9+Лист4!B10+Лист5!B10+Лист6!B10+Лист7!B10+Лист8!B10+Лист9!B10+Лист10!B10</f>
        <v>5510000</v>
      </c>
      <c r="C9" s="225">
        <f>Лист1!C15+Лист2!C9+Лист3!C9+Лист4!C10+Лист5!C10+Лист6!C10+Лист7!C10+Лист8!C10+Лист9!C10+Лист10!C10</f>
        <v>3211989.9699999997</v>
      </c>
      <c r="D9" s="222">
        <f t="shared" si="0"/>
        <v>58.293828856624316</v>
      </c>
      <c r="E9" s="223">
        <f t="shared" si="1"/>
        <v>-2298010.0300000003</v>
      </c>
    </row>
    <row r="10" spans="1:5" ht="15">
      <c r="A10" s="224" t="s">
        <v>7</v>
      </c>
      <c r="B10" s="225">
        <f>B11</f>
        <v>1009400</v>
      </c>
      <c r="C10" s="225">
        <f>SUM(C11:C11)</f>
        <v>1599252.09</v>
      </c>
      <c r="D10" s="222">
        <f t="shared" si="0"/>
        <v>158.4359114325342</v>
      </c>
      <c r="E10" s="223">
        <f t="shared" si="1"/>
        <v>589852.0900000001</v>
      </c>
    </row>
    <row r="11" spans="1:5" ht="15">
      <c r="A11" s="224" t="s">
        <v>26</v>
      </c>
      <c r="B11" s="225">
        <f>Лист1!B18+Лист2!B11+Лист3!B11+Лист4!B12+Лист5!B12+Лист6!B12+Лист7!B12+Лист8!B12+Лист9!B12+Лист10!B12</f>
        <v>1009400</v>
      </c>
      <c r="C11" s="225">
        <f>Лист1!C18+Лист2!C11+Лист3!C11+Лист4!C12+Лист5!C12+Лист6!C12+Лист7!C12+Лист8!C12+Лист9!C12+Лист10!C12</f>
        <v>1599252.09</v>
      </c>
      <c r="D11" s="222">
        <f t="shared" si="0"/>
        <v>158.4359114325342</v>
      </c>
      <c r="E11" s="223">
        <f t="shared" si="1"/>
        <v>589852.0900000001</v>
      </c>
    </row>
    <row r="12" spans="1:5" ht="15">
      <c r="A12" s="224" t="s">
        <v>9</v>
      </c>
      <c r="B12" s="225">
        <f>SUM(B13:B14)</f>
        <v>8932600</v>
      </c>
      <c r="C12" s="225">
        <f>SUM(C13:C14)</f>
        <v>1684577.3000000003</v>
      </c>
      <c r="D12" s="222">
        <f t="shared" si="0"/>
        <v>18.858756688981934</v>
      </c>
      <c r="E12" s="223">
        <f t="shared" si="1"/>
        <v>-7248022.699999999</v>
      </c>
    </row>
    <row r="13" spans="1:5" ht="15">
      <c r="A13" s="224" t="s">
        <v>27</v>
      </c>
      <c r="B13" s="225">
        <f>Лист1!B20+Лист2!B13+Лист3!B13+Лист4!B14+Лист5!B14+Лист6!B14+Лист7!B14+Лист8!B14+Лист9!B14+Лист10!B14</f>
        <v>2115000</v>
      </c>
      <c r="C13" s="225">
        <f>Лист1!C20+Лист2!C13+Лист3!C13+Лист4!C14+Лист5!C14+Лист6!C14+Лист7!C14+Лист8!C14+Лист9!C14+Лист10!C14</f>
        <v>188928.8</v>
      </c>
      <c r="D13" s="222">
        <f t="shared" si="0"/>
        <v>8.932803782505909</v>
      </c>
      <c r="E13" s="223">
        <f t="shared" si="1"/>
        <v>-1926071.2</v>
      </c>
    </row>
    <row r="14" spans="1:5" ht="15">
      <c r="A14" s="224" t="s">
        <v>173</v>
      </c>
      <c r="B14" s="225">
        <f>Лист1!B21+Лист2!B14+Лист3!B14+Лист4!B15+Лист5!B15+Лист6!B15+Лист7!B15+Лист8!B15+Лист9!B15+Лист10!B15</f>
        <v>6817600</v>
      </c>
      <c r="C14" s="225">
        <f>Лист1!C21+Лист2!C14+Лист3!C14+Лист4!C15+Лист5!C15+Лист6!C15+Лист7!C15+Лист8!C15+Лист9!C15+Лист10!C15</f>
        <v>1495648.5000000002</v>
      </c>
      <c r="D14" s="222">
        <f t="shared" si="0"/>
        <v>21.93805004693734</v>
      </c>
      <c r="E14" s="223">
        <f t="shared" si="1"/>
        <v>-5321951.5</v>
      </c>
    </row>
    <row r="15" spans="1:5" ht="15">
      <c r="A15" s="224" t="s">
        <v>174</v>
      </c>
      <c r="B15" s="225">
        <f>Лист1!B22+Лист2!B15+Лист3!B15+Лист4!B16+Лист5!B16+Лист6!B16+Лист7!B16+Лист8!B16+Лист9!B16+Лист10!B16</f>
        <v>1830200</v>
      </c>
      <c r="C15" s="225">
        <f>Лист1!C22+Лист2!C15+Лист3!C15+Лист4!C16+Лист5!C16+Лист6!C16+Лист7!C16+Лист8!C16+Лист9!C16+Лист10!C16</f>
        <v>1057703.26</v>
      </c>
      <c r="D15" s="222">
        <f t="shared" si="0"/>
        <v>57.791676319527916</v>
      </c>
      <c r="E15" s="223">
        <f t="shared" si="1"/>
        <v>-772496.74</v>
      </c>
    </row>
    <row r="16" spans="1:5" ht="15">
      <c r="A16" s="224" t="s">
        <v>175</v>
      </c>
      <c r="B16" s="225">
        <f>Лист1!B23+Лист2!B16+Лист3!B16+Лист4!B17+Лист5!B17+Лист6!B17+Лист7!B17+Лист8!B17+Лист9!B17+Лист10!B17</f>
        <v>4987400</v>
      </c>
      <c r="C16" s="225">
        <f>Лист1!C23+Лист2!C16+Лист3!C16+Лист4!C17+Лист5!C17+Лист6!C17+Лист7!C17+Лист8!C17+Лист9!C17+Лист10!C17</f>
        <v>437945.24000000005</v>
      </c>
      <c r="D16" s="222">
        <f t="shared" si="0"/>
        <v>8.781033003167984</v>
      </c>
      <c r="E16" s="223">
        <f t="shared" si="1"/>
        <v>-4549454.76</v>
      </c>
    </row>
    <row r="17" spans="1:5" ht="15">
      <c r="A17" s="224" t="s">
        <v>264</v>
      </c>
      <c r="B17" s="210">
        <f>Лист8!B18+Лист5!B18+Лист9!B18+Лист3!B17</f>
        <v>4000</v>
      </c>
      <c r="C17" s="210">
        <f>Лист8!C18+Лист5!C18+Лист9!C18+Лист3!C17</f>
        <v>17380</v>
      </c>
      <c r="D17" s="222">
        <f>IF(B17=0,"   ",C17/B17*100)</f>
        <v>434.5</v>
      </c>
      <c r="E17" s="223">
        <f>C17-B17</f>
        <v>13380</v>
      </c>
    </row>
    <row r="18" spans="1:5" ht="28.5" customHeight="1">
      <c r="A18" s="224" t="s">
        <v>94</v>
      </c>
      <c r="B18" s="210">
        <f>Лист1!B24+Лист2!B17+Лист3!B18+Лист4!B18+Лист5!B19+Лист6!B18+Лист7!B18+Лист8!B19+Лист9!B19+Лист10!B18</f>
        <v>0</v>
      </c>
      <c r="C18" s="210">
        <f>Лист1!C24+Лист2!C17+Лист3!C18+Лист4!C18+Лист5!C19+Лист6!C18+Лист7!C18+Лист8!C19+Лист9!C19+Лист10!C18</f>
        <v>51314.33</v>
      </c>
      <c r="D18" s="222" t="str">
        <f t="shared" si="0"/>
        <v>   </v>
      </c>
      <c r="E18" s="223">
        <f t="shared" si="1"/>
        <v>51314.33</v>
      </c>
    </row>
    <row r="19" spans="1:5" ht="46.5" customHeight="1">
      <c r="A19" s="224" t="s">
        <v>28</v>
      </c>
      <c r="B19" s="225">
        <f>SUM(B20:B23)</f>
        <v>5481600</v>
      </c>
      <c r="C19" s="225">
        <f>SUM(C20:C23)</f>
        <v>1185107.08</v>
      </c>
      <c r="D19" s="222">
        <f t="shared" si="0"/>
        <v>21.61972927612376</v>
      </c>
      <c r="E19" s="223">
        <f t="shared" si="1"/>
        <v>-4296492.92</v>
      </c>
    </row>
    <row r="20" spans="1:5" ht="15">
      <c r="A20" s="224" t="s">
        <v>164</v>
      </c>
      <c r="B20" s="225">
        <f>Лист7!B20</f>
        <v>872000</v>
      </c>
      <c r="C20" s="225">
        <f>Лист7!C20</f>
        <v>449964.3</v>
      </c>
      <c r="D20" s="222">
        <f t="shared" si="0"/>
        <v>51.601410550458716</v>
      </c>
      <c r="E20" s="223">
        <f t="shared" si="1"/>
        <v>-422035.7</v>
      </c>
    </row>
    <row r="21" spans="1:5" ht="15">
      <c r="A21" s="224" t="s">
        <v>146</v>
      </c>
      <c r="B21" s="225">
        <f>Лист1!B26+Лист2!B22+Лист3!B20+Лист4!B20+Лист5!B21+Лист6!B20+Лист7!B21+Лист8!B21+Лист9!B22+Лист10!B21</f>
        <v>2451300</v>
      </c>
      <c r="C21" s="225">
        <f>Лист1!C26+Лист2!C22+Лист3!C20+Лист4!C20+Лист5!C21+Лист6!C20+Лист7!C21+Лист8!C21+Лист9!C22+Лист10!C21</f>
        <v>278192.07</v>
      </c>
      <c r="D21" s="222">
        <f t="shared" si="0"/>
        <v>11.348756578142211</v>
      </c>
      <c r="E21" s="223">
        <f t="shared" si="1"/>
        <v>-2173107.93</v>
      </c>
    </row>
    <row r="22" spans="1:5" ht="33" customHeight="1">
      <c r="A22" s="224" t="s">
        <v>30</v>
      </c>
      <c r="B22" s="225">
        <f>Лист1!B27+Лист2!B23+Лист3!B21+Лист4!B21+Лист5!B22+Лист6!B21+Лист7!B22+Лист8!B22+Лист9!B23+Лист10!B20</f>
        <v>1168300</v>
      </c>
      <c r="C22" s="225">
        <f>Лист1!C27+Лист2!C23+Лист3!C21+Лист4!C21+Лист5!C22+Лист6!C21+Лист7!C22+Лист8!C22+Лист9!C23+Лист10!C20</f>
        <v>59593.13</v>
      </c>
      <c r="D22" s="222">
        <f t="shared" si="0"/>
        <v>5.100841393477702</v>
      </c>
      <c r="E22" s="223">
        <f t="shared" si="1"/>
        <v>-1108706.87</v>
      </c>
    </row>
    <row r="23" spans="1:5" ht="80.25" customHeight="1">
      <c r="A23" s="224" t="s">
        <v>270</v>
      </c>
      <c r="B23" s="225">
        <f>Лист7!B23+Лист9!B24</f>
        <v>990000</v>
      </c>
      <c r="C23" s="225">
        <f>Лист7!C23+Лист9!C24</f>
        <v>397357.58</v>
      </c>
      <c r="D23" s="222">
        <f>IF(B23=0,"   ",C23/B23*100)</f>
        <v>40.137129292929295</v>
      </c>
      <c r="E23" s="223">
        <f>C23-B23</f>
        <v>-592642.4199999999</v>
      </c>
    </row>
    <row r="24" spans="1:5" ht="30.75" customHeight="1">
      <c r="A24" s="224" t="s">
        <v>83</v>
      </c>
      <c r="B24" s="225">
        <f>SUM(B26,B25)</f>
        <v>0</v>
      </c>
      <c r="C24" s="225">
        <f>SUM(C26,C25)</f>
        <v>20145.65</v>
      </c>
      <c r="D24" s="222" t="str">
        <f t="shared" si="0"/>
        <v>   </v>
      </c>
      <c r="E24" s="223">
        <f t="shared" si="1"/>
        <v>20145.65</v>
      </c>
    </row>
    <row r="25" spans="1:5" ht="16.5" customHeight="1">
      <c r="A25" s="224" t="s">
        <v>210</v>
      </c>
      <c r="B25" s="225">
        <f>Лист2!B25</f>
        <v>0</v>
      </c>
      <c r="C25" s="225">
        <f>Лист2!C25</f>
        <v>0</v>
      </c>
      <c r="D25" s="222"/>
      <c r="E25" s="223">
        <f t="shared" si="1"/>
        <v>0</v>
      </c>
    </row>
    <row r="26" spans="1:5" ht="44.25" customHeight="1">
      <c r="A26" s="224" t="s">
        <v>84</v>
      </c>
      <c r="B26" s="225">
        <f>Лист4!B22+Лист9!B25</f>
        <v>0</v>
      </c>
      <c r="C26" s="225">
        <f>Лист4!C22+Лист9!C25+Лист7!C24</f>
        <v>20145.65</v>
      </c>
      <c r="D26" s="222" t="str">
        <f t="shared" si="0"/>
        <v>   </v>
      </c>
      <c r="E26" s="223">
        <f t="shared" si="1"/>
        <v>20145.65</v>
      </c>
    </row>
    <row r="27" spans="1:5" ht="31.5" customHeight="1">
      <c r="A27" s="224" t="s">
        <v>76</v>
      </c>
      <c r="B27" s="225">
        <f>SUM(B29+B28+B30)</f>
        <v>704225.9199999999</v>
      </c>
      <c r="C27" s="225">
        <f>SUM(C29+C28+C30)</f>
        <v>944187.13</v>
      </c>
      <c r="D27" s="222">
        <f t="shared" si="0"/>
        <v>134.07446434235197</v>
      </c>
      <c r="E27" s="223">
        <f t="shared" si="1"/>
        <v>239961.21000000008</v>
      </c>
    </row>
    <row r="28" spans="1:5" ht="30.75" customHeight="1">
      <c r="A28" s="224" t="s">
        <v>139</v>
      </c>
      <c r="B28" s="225">
        <f>Лист1!B30+Лист5!B25+Лист9!B27+Лист7!B26+Лист2!B19</f>
        <v>382325.92</v>
      </c>
      <c r="C28" s="225">
        <f>Лист1!C30+Лист5!C25+Лист9!C27+Лист7!C26</f>
        <v>519264.19</v>
      </c>
      <c r="D28" s="222">
        <f t="shared" si="0"/>
        <v>135.81715568748257</v>
      </c>
      <c r="E28" s="223">
        <f t="shared" si="1"/>
        <v>136938.27000000002</v>
      </c>
    </row>
    <row r="29" spans="1:5" ht="27.75" customHeight="1">
      <c r="A29" s="224" t="s">
        <v>186</v>
      </c>
      <c r="B29" s="225">
        <f>Лист7!B27</f>
        <v>262800</v>
      </c>
      <c r="C29" s="225">
        <f>Лист7!C27</f>
        <v>265319.69</v>
      </c>
      <c r="D29" s="222">
        <f t="shared" si="0"/>
        <v>100.95878614916288</v>
      </c>
      <c r="E29" s="223">
        <f t="shared" si="1"/>
        <v>2519.6900000000023</v>
      </c>
    </row>
    <row r="30" spans="1:5" ht="46.5" customHeight="1">
      <c r="A30" s="224" t="s">
        <v>187</v>
      </c>
      <c r="B30" s="225">
        <f>Лист1!B31+Лист2!B20+Лист3!B24+Лист4!B24+Лист6!B24+Лист8!B25+Лист9!B28+Лист10!B24</f>
        <v>59100</v>
      </c>
      <c r="C30" s="225">
        <f>Лист1!C31+Лист2!C20+Лист3!C24+Лист4!C24+Лист6!C24+Лист8!C25+Лист9!C28+Лист10!C24</f>
        <v>159603.25</v>
      </c>
      <c r="D30" s="222">
        <f t="shared" si="0"/>
        <v>270.0562605752961</v>
      </c>
      <c r="E30" s="223">
        <f t="shared" si="1"/>
        <v>100503.25</v>
      </c>
    </row>
    <row r="31" spans="1:5" ht="15">
      <c r="A31" s="224" t="s">
        <v>31</v>
      </c>
      <c r="B31" s="225">
        <f>Лист1!B32+Лист2!B26+Лист5!B29+Лист7!B28</f>
        <v>5100</v>
      </c>
      <c r="C31" s="225">
        <f>Лист1!C32+Лист2!C26+Лист5!C29+Лист7!C28</f>
        <v>5100</v>
      </c>
      <c r="D31" s="222">
        <f t="shared" si="0"/>
        <v>100</v>
      </c>
      <c r="E31" s="223">
        <f t="shared" si="1"/>
        <v>0</v>
      </c>
    </row>
    <row r="32" spans="1:5" ht="15">
      <c r="A32" s="224" t="s">
        <v>32</v>
      </c>
      <c r="B32" s="225">
        <f>B33+B35+B34</f>
        <v>0</v>
      </c>
      <c r="C32" s="225">
        <f>C33+C35+C34</f>
        <v>-73107.65</v>
      </c>
      <c r="D32" s="222" t="str">
        <f t="shared" si="0"/>
        <v>   </v>
      </c>
      <c r="E32" s="223">
        <f t="shared" si="1"/>
        <v>-73107.65</v>
      </c>
    </row>
    <row r="33" spans="1:5" ht="15">
      <c r="A33" s="224" t="s">
        <v>46</v>
      </c>
      <c r="B33" s="225">
        <v>0</v>
      </c>
      <c r="C33" s="225">
        <f>Лист1!C36+Лист2!C28+Лист4!C26+Лист6!C26+Лист7!C30+Лист8!C27+Лист9!C31+Лист3!C26+Лист10!C26</f>
        <v>-73107.65</v>
      </c>
      <c r="D33" s="222"/>
      <c r="E33" s="223">
        <f t="shared" si="1"/>
        <v>-73107.65</v>
      </c>
    </row>
    <row r="34" spans="1:5" ht="30">
      <c r="A34" s="224" t="s">
        <v>183</v>
      </c>
      <c r="B34" s="225">
        <f>Лист5!B27</f>
        <v>0</v>
      </c>
      <c r="C34" s="225">
        <f>Лист5!C27</f>
        <v>0</v>
      </c>
      <c r="D34" s="222"/>
      <c r="E34" s="223">
        <f t="shared" si="1"/>
        <v>0</v>
      </c>
    </row>
    <row r="35" spans="1:5" ht="15">
      <c r="A35" s="224" t="s">
        <v>50</v>
      </c>
      <c r="B35" s="225">
        <f>Лист1!B37+Лист2!B29+Лист3!B27+Лист4!B27+Лист5!B28+Лист6!B27+Лист7!B31+Лист8!B28+Лист9!B32+Лист10!B27</f>
        <v>0</v>
      </c>
      <c r="C35" s="225">
        <f>Лист1!C37+Лист2!C29+Лист3!C27+Лист4!C27+Лист5!C28+Лист6!C27+Лист7!C31+Лист8!C28+Лист9!C32+Лист10!C27</f>
        <v>0</v>
      </c>
      <c r="D35" s="222" t="str">
        <f>IF(B35=0,"   ",C35/B35*100)</f>
        <v>   </v>
      </c>
      <c r="E35" s="223">
        <f t="shared" si="1"/>
        <v>0</v>
      </c>
    </row>
    <row r="36" spans="1:5" ht="27" customHeight="1">
      <c r="A36" s="226" t="s">
        <v>10</v>
      </c>
      <c r="B36" s="227">
        <f>SUM(B6,B8,B10,B12,B18,B19,B24,B27,B32,+B31+B17)</f>
        <v>31658525.92</v>
      </c>
      <c r="C36" s="227">
        <f>SUM(C6,C8,C10,C12,C18,C19,C24,C27,C32,+C31+C17)</f>
        <v>14156049.510000002</v>
      </c>
      <c r="D36" s="228">
        <f>IF(B36=0,"   ",C36/B36*100)</f>
        <v>44.71480935584887</v>
      </c>
      <c r="E36" s="229">
        <f t="shared" si="1"/>
        <v>-17502476.41</v>
      </c>
    </row>
    <row r="37" spans="1:5" ht="33" customHeight="1">
      <c r="A37" s="221" t="s">
        <v>34</v>
      </c>
      <c r="B37" s="214">
        <f>Лист1!B42+Лист2!B32+Лист3!B31+Лист4!B31+Лист5!B32+Лист6!B30+Лист7!B34+Лист8!B32+Лист9!B35+Лист10!B30</f>
        <v>16333700</v>
      </c>
      <c r="C37" s="214">
        <f>Лист1!C42+Лист2!C32+Лист3!C31+Лист4!C31+Лист5!C32+Лист6!C30+Лист7!C34+Лист8!C32+Лист9!C35+Лист10!C30</f>
        <v>9506100</v>
      </c>
      <c r="D37" s="222">
        <f>IF(B37=0,"   ",C37/B37*100)</f>
        <v>58.19930572987138</v>
      </c>
      <c r="E37" s="223">
        <f t="shared" si="1"/>
        <v>-6827600</v>
      </c>
    </row>
    <row r="38" spans="1:5" ht="15">
      <c r="A38" s="230" t="s">
        <v>116</v>
      </c>
      <c r="B38" s="214">
        <f>B43+B42+B40+B41</f>
        <v>14549468.18</v>
      </c>
      <c r="C38" s="214">
        <f>C43+C42+C40+C41</f>
        <v>3354531.8</v>
      </c>
      <c r="D38" s="222">
        <f>IF(B38=0,"   ",C38/B38*100)</f>
        <v>23.056044100712963</v>
      </c>
      <c r="E38" s="223">
        <f t="shared" si="1"/>
        <v>-11194936.379999999</v>
      </c>
    </row>
    <row r="39" spans="1:5" ht="15">
      <c r="A39" s="221" t="s">
        <v>117</v>
      </c>
      <c r="B39" s="214"/>
      <c r="C39" s="214"/>
      <c r="D39" s="222"/>
      <c r="E39" s="223"/>
    </row>
    <row r="40" spans="1:5" ht="33" customHeight="1">
      <c r="A40" s="224" t="s">
        <v>212</v>
      </c>
      <c r="B40" s="225">
        <f>Лист1!B47+Лист2!B33</f>
        <v>0</v>
      </c>
      <c r="C40" s="225">
        <f>Лист1!C47+Лист2!C33</f>
        <v>0</v>
      </c>
      <c r="D40" s="222" t="str">
        <f>IF(B40=0,"   ",C40/B40*100)</f>
        <v>   </v>
      </c>
      <c r="E40" s="223">
        <f>C40-B40</f>
        <v>0</v>
      </c>
    </row>
    <row r="41" spans="1:5" ht="51" customHeight="1">
      <c r="A41" s="224" t="s">
        <v>220</v>
      </c>
      <c r="B41" s="209">
        <f>Лист7!B40</f>
        <v>6407468.18</v>
      </c>
      <c r="C41" s="209">
        <f>Лист7!C40</f>
        <v>0</v>
      </c>
      <c r="D41" s="211">
        <f>IF(B41=0,"   ",C41/B41)</f>
        <v>0</v>
      </c>
      <c r="E41" s="212">
        <f>C41-B41</f>
        <v>-6407468.18</v>
      </c>
    </row>
    <row r="42" spans="1:5" ht="55.5" customHeight="1">
      <c r="A42" s="224" t="s">
        <v>142</v>
      </c>
      <c r="B42" s="225">
        <f>Лист7!B41</f>
        <v>1615800</v>
      </c>
      <c r="C42" s="225">
        <f>Лист7!C41</f>
        <v>0</v>
      </c>
      <c r="D42" s="222">
        <f>IF(B42=0,"   ",C42/B42*100)</f>
        <v>0</v>
      </c>
      <c r="E42" s="223">
        <f>C42-B42</f>
        <v>-1615800</v>
      </c>
    </row>
    <row r="43" spans="1:5" ht="15">
      <c r="A43" s="224" t="s">
        <v>107</v>
      </c>
      <c r="B43" s="225">
        <f>B48+B46+B45+B47</f>
        <v>6526200</v>
      </c>
      <c r="C43" s="225">
        <f>C48+C46+C45+C47</f>
        <v>3354531.8</v>
      </c>
      <c r="D43" s="222">
        <f>IF(B43=0,"   ",C43/B43*100)</f>
        <v>51.40099598541264</v>
      </c>
      <c r="E43" s="223">
        <f>C43-B43</f>
        <v>-3171668.2</v>
      </c>
    </row>
    <row r="44" spans="1:5" ht="15">
      <c r="A44" s="224" t="s">
        <v>118</v>
      </c>
      <c r="B44" s="225"/>
      <c r="C44" s="225"/>
      <c r="D44" s="222"/>
      <c r="E44" s="223"/>
    </row>
    <row r="45" spans="1:5" ht="30">
      <c r="A45" s="224" t="s">
        <v>236</v>
      </c>
      <c r="B45" s="225">
        <f>Лист1!B51+Лист9!B41</f>
        <v>270000</v>
      </c>
      <c r="C45" s="225">
        <f>Лист1!C51+Лист9!C41</f>
        <v>270000</v>
      </c>
      <c r="D45" s="222">
        <f>IF(B45=0,"   ",C45/B45*100)</f>
        <v>100</v>
      </c>
      <c r="E45" s="223">
        <f>C45-B45</f>
        <v>0</v>
      </c>
    </row>
    <row r="46" spans="1:5" ht="51.75" customHeight="1">
      <c r="A46" s="224" t="s">
        <v>235</v>
      </c>
      <c r="B46" s="225">
        <f>Лист2!B41+Лист4!B38+Лист5!B39+Лист6!B37+Лист8!B40+Лист10!B36</f>
        <v>2123700</v>
      </c>
      <c r="C46" s="225">
        <f>Лист2!C41+Лист4!C38+Лист5!C39+Лист6!C37+Лист8!C40+Лист10!C36</f>
        <v>1233292.8</v>
      </c>
      <c r="D46" s="222">
        <f>IF(B46=0,"   ",C46/B46*100)</f>
        <v>58.07283514620709</v>
      </c>
      <c r="E46" s="223">
        <f>C46-B46</f>
        <v>-890407.2</v>
      </c>
    </row>
    <row r="47" spans="1:5" ht="14.25" customHeight="1">
      <c r="A47" s="224" t="s">
        <v>237</v>
      </c>
      <c r="B47" s="225">
        <f>Лист7!B43</f>
        <v>42800</v>
      </c>
      <c r="C47" s="225">
        <f>Лист7!C43</f>
        <v>42800</v>
      </c>
      <c r="D47" s="222">
        <f>IF(B47=0,"   ",C47/B47*100)</f>
        <v>100</v>
      </c>
      <c r="E47" s="223">
        <f>C47-B47</f>
        <v>0</v>
      </c>
    </row>
    <row r="48" spans="1:5" s="69" customFormat="1" ht="40.5" customHeight="1">
      <c r="A48" s="224" t="s">
        <v>119</v>
      </c>
      <c r="B48" s="225">
        <f>Лист1!B52+Лист2!B42+Лист3!B39+Лист4!B39+Лист5!B38+Лист6!B36+Лист7!B44+Лист8!B41+Лист9!B42+Лист10!B37</f>
        <v>4089700</v>
      </c>
      <c r="C48" s="225">
        <f>Лист1!C52+Лист2!C42+Лист3!C39+Лист4!C39+Лист5!C38+Лист6!C36+Лист7!C44+Лист8!C41+Лист9!C42+Лист10!C37</f>
        <v>1808439</v>
      </c>
      <c r="D48" s="222">
        <f>IF(B48=0,"   ",C48/B48*100)</f>
        <v>44.21935594297871</v>
      </c>
      <c r="E48" s="223">
        <f>C48-B48</f>
        <v>-2281261</v>
      </c>
    </row>
    <row r="49" spans="1:5" s="69" customFormat="1" ht="15">
      <c r="A49" s="230" t="s">
        <v>19</v>
      </c>
      <c r="B49" s="225">
        <f>B51+B52</f>
        <v>1119200</v>
      </c>
      <c r="C49" s="225">
        <f>C51+C52</f>
        <v>721516.8</v>
      </c>
      <c r="D49" s="222">
        <f>IF(B49=0,"   ",C49/B49*100)</f>
        <v>64.46719085060758</v>
      </c>
      <c r="E49" s="223">
        <f>C49-B49</f>
        <v>-397683.19999999995</v>
      </c>
    </row>
    <row r="50" spans="1:5" ht="15">
      <c r="A50" s="221" t="s">
        <v>117</v>
      </c>
      <c r="B50" s="214"/>
      <c r="C50" s="214"/>
      <c r="D50" s="222"/>
      <c r="E50" s="223"/>
    </row>
    <row r="51" spans="1:5" ht="58.5" customHeight="1">
      <c r="A51" s="231" t="s">
        <v>51</v>
      </c>
      <c r="B51" s="232">
        <f>Лист1!B43+Лист2!B34+Лист3!B32+Лист4!B32+Лист5!B33+Лист6!B31+Лист7!B35+Лист8!B33+Лист9!B36+Лист10!B31</f>
        <v>1069000</v>
      </c>
      <c r="C51" s="232">
        <f>Лист1!C43+Лист2!C34+Лист3!C32+Лист4!C32+Лист5!C33+Лист6!C31+Лист7!C35+Лист8!C33+Лист9!C36+Лист10!C31</f>
        <v>712120</v>
      </c>
      <c r="D51" s="233">
        <f>IF(B51=0,"   ",C51/B51*100)</f>
        <v>66.6155285313377</v>
      </c>
      <c r="E51" s="234">
        <f>C51-B51</f>
        <v>-356880</v>
      </c>
    </row>
    <row r="52" spans="1:5" ht="48.75" customHeight="1">
      <c r="A52" s="231" t="s">
        <v>157</v>
      </c>
      <c r="B52" s="232">
        <f>Лист1!B44+Лист2!B35+Лист3!B33+Лист4!B33+Лист5!B34+Лист6!B32+Лист7!B36+Лист8!B34+Лист9!B37+Лист10!B32</f>
        <v>50200</v>
      </c>
      <c r="C52" s="232">
        <f>Лист1!C44+Лист2!C35+Лист3!C33+Лист4!C33+Лист5!C34+Лист6!C32+Лист7!C36+Лист8!C34+Лист9!C37+Лист10!C32</f>
        <v>9396.8</v>
      </c>
      <c r="D52" s="233">
        <f>IF(B52=0,"   ",C52/B52*100)</f>
        <v>18.718725099601592</v>
      </c>
      <c r="E52" s="234">
        <f>C52-B52</f>
        <v>-40803.2</v>
      </c>
    </row>
    <row r="53" spans="1:5" ht="27.75" customHeight="1">
      <c r="A53" s="231" t="s">
        <v>178</v>
      </c>
      <c r="B53" s="232">
        <f>Лист1!B45+Лист2!B36+Лист3!B34+Лист4!B34+Лист5!B35+Лист6!B33+Лист7!B37+Лист8!B35+Лист9!B38+Лист10!B33</f>
        <v>2000</v>
      </c>
      <c r="C53" s="232">
        <f>Лист1!C45+Лист2!C36+Лист3!C34+Лист4!C34+Лист5!C35+Лист6!C33+Лист7!C37+Лист8!C35+Лист9!C38+Лист10!C33</f>
        <v>1100</v>
      </c>
      <c r="D53" s="233">
        <f>IF(B53=0,"   ",C53/B53*100)</f>
        <v>55.00000000000001</v>
      </c>
      <c r="E53" s="234">
        <f>C53-B53</f>
        <v>-900</v>
      </c>
    </row>
    <row r="54" spans="1:5" ht="39.75" customHeight="1">
      <c r="A54" s="231" t="s">
        <v>179</v>
      </c>
      <c r="B54" s="232">
        <f>Лист1!B46+Лист2!B37+Лист3!B35+Лист4!B35+Лист5!B36+Лист6!B34+Лист7!B38+Лист8!B36+Лист9!B39+Лист10!B34</f>
        <v>48200</v>
      </c>
      <c r="C54" s="232">
        <f>Лист1!C46+Лист2!C37+Лист3!C35+Лист4!C35+Лист5!C36+Лист6!C34+Лист7!C38+Лист8!C36+Лист9!C39+Лист10!C34</f>
        <v>8296.8</v>
      </c>
      <c r="D54" s="233">
        <f>IF(B54=0,"   ",C54/B54*100)</f>
        <v>17.213278008298754</v>
      </c>
      <c r="E54" s="234">
        <f>C54-B54</f>
        <v>-39903.2</v>
      </c>
    </row>
    <row r="55" spans="1:5" ht="15">
      <c r="A55" s="230" t="s">
        <v>120</v>
      </c>
      <c r="B55" s="225">
        <f>B57+B58</f>
        <v>1802611</v>
      </c>
      <c r="C55" s="225">
        <f>C57+C58</f>
        <v>1298470</v>
      </c>
      <c r="D55" s="222">
        <f>IF(B55=0,"   ",C55/B55*100)</f>
        <v>72.0327347386652</v>
      </c>
      <c r="E55" s="223">
        <f t="shared" si="1"/>
        <v>-504141</v>
      </c>
    </row>
    <row r="56" spans="1:5" ht="15">
      <c r="A56" s="221" t="s">
        <v>117</v>
      </c>
      <c r="B56" s="214"/>
      <c r="C56" s="214"/>
      <c r="D56" s="222"/>
      <c r="E56" s="223"/>
    </row>
    <row r="57" spans="1:5" ht="75" customHeight="1">
      <c r="A57" s="224" t="s">
        <v>90</v>
      </c>
      <c r="B57" s="232">
        <f>Лист1!B48+Лист2!B38+Лист3!B36+Лист4!B36+Лист5!B40+Лист6!B39+Лист7!B39+Лист8!B37+Лист9!B43+Лист10!B39</f>
        <v>1802611</v>
      </c>
      <c r="C57" s="232">
        <f>Лист1!C48+Лист2!C38+Лист3!C36+Лист4!C36+Лист5!C40+Лист6!C39+Лист7!C39+Лист8!C37+Лист9!C43+Лист10!C39</f>
        <v>1298470</v>
      </c>
      <c r="D57" s="222">
        <f aca="true" t="shared" si="2" ref="D57:D85">IF(B57=0,"   ",C57/B57*100)</f>
        <v>72.0327347386652</v>
      </c>
      <c r="E57" s="223">
        <f>C57-B57</f>
        <v>-504141</v>
      </c>
    </row>
    <row r="58" spans="1:5" ht="27.75" customHeight="1">
      <c r="A58" s="224" t="s">
        <v>189</v>
      </c>
      <c r="B58" s="232">
        <f>Лист1!B49+Лист2!B39+Лист3!B37+Лист6!B38+Лист8!B38+Лист10!B38</f>
        <v>0</v>
      </c>
      <c r="C58" s="232">
        <f>Лист1!C49+Лист2!C39+Лист3!C37+Лист6!C38+Лист8!C38+Лист10!C38</f>
        <v>0</v>
      </c>
      <c r="D58" s="222" t="str">
        <f t="shared" si="2"/>
        <v>   </v>
      </c>
      <c r="E58" s="223">
        <f>C58-B58</f>
        <v>0</v>
      </c>
    </row>
    <row r="59" spans="1:5" ht="27.75" customHeight="1">
      <c r="A59" s="226" t="s">
        <v>231</v>
      </c>
      <c r="B59" s="232">
        <f>Лист7!B45+Лист2!B43+Лист4!B40+Лист5!B41+Лист6!B40+Лист8!B42+Лист1!B53+Лист10!B40</f>
        <v>1306175.6</v>
      </c>
      <c r="C59" s="232">
        <f>Лист7!C45+Лист2!C43+Лист4!C40+Лист5!C41+Лист6!C40+Лист8!C42+Лист1!C53</f>
        <v>294896.35</v>
      </c>
      <c r="D59" s="222">
        <f>IF(B59=0,"   ",C59/B59*100)</f>
        <v>22.577083050701603</v>
      </c>
      <c r="E59" s="223">
        <f>C59-B59</f>
        <v>-1011279.2500000001</v>
      </c>
    </row>
    <row r="60" spans="1:5" ht="14.25">
      <c r="A60" s="226" t="s">
        <v>105</v>
      </c>
      <c r="B60" s="227">
        <f>B37+B38+B49+B55+B59</f>
        <v>35111154.78</v>
      </c>
      <c r="C60" s="227">
        <f>C37+C38+C49+C55+C59</f>
        <v>15175514.950000001</v>
      </c>
      <c r="D60" s="228">
        <f t="shared" si="2"/>
        <v>43.221349582737936</v>
      </c>
      <c r="E60" s="229">
        <f aca="true" t="shared" si="3" ref="E60:E96">C60-B60</f>
        <v>-19935639.83</v>
      </c>
    </row>
    <row r="61" spans="1:5" ht="23.25" customHeight="1">
      <c r="A61" s="226" t="s">
        <v>11</v>
      </c>
      <c r="B61" s="227">
        <f>B36+B60</f>
        <v>66769680.7</v>
      </c>
      <c r="C61" s="227">
        <f>C36+C60</f>
        <v>29331564.46</v>
      </c>
      <c r="D61" s="228">
        <f t="shared" si="2"/>
        <v>43.929466417232696</v>
      </c>
      <c r="E61" s="229">
        <f t="shared" si="3"/>
        <v>-37438116.24</v>
      </c>
    </row>
    <row r="62" spans="1:5" ht="29.25" hidden="1">
      <c r="A62" s="226" t="s">
        <v>48</v>
      </c>
      <c r="B62" s="225"/>
      <c r="C62" s="225"/>
      <c r="D62" s="222" t="str">
        <f t="shared" si="2"/>
        <v>   </v>
      </c>
      <c r="E62" s="223">
        <f t="shared" si="3"/>
        <v>0</v>
      </c>
    </row>
    <row r="63" spans="1:5" ht="15">
      <c r="A63" s="235" t="s">
        <v>12</v>
      </c>
      <c r="B63" s="236"/>
      <c r="C63" s="237"/>
      <c r="D63" s="222" t="str">
        <f t="shared" si="2"/>
        <v>   </v>
      </c>
      <c r="E63" s="223"/>
    </row>
    <row r="64" spans="1:5" ht="15">
      <c r="A64" s="224" t="s">
        <v>35</v>
      </c>
      <c r="B64" s="225">
        <f>Лист1!B56+Лист2!B47+Лист3!B42+Лист4!B43+Лист5!B45+Лист6!B43+Лист7!B49+Лист8!B45+Лист9!B46+Лист10!B44</f>
        <v>12993699</v>
      </c>
      <c r="C64" s="225">
        <f>Лист1!C56+Лист2!C47+Лист3!C42+Лист4!C43+Лист5!C45+Лист6!C43+Лист7!C49+Лист8!C45+Лист9!C46+Лист10!C44</f>
        <v>6329683.93</v>
      </c>
      <c r="D64" s="222">
        <f t="shared" si="2"/>
        <v>48.713487437257086</v>
      </c>
      <c r="E64" s="223">
        <f t="shared" si="3"/>
        <v>-6664015.07</v>
      </c>
    </row>
    <row r="65" spans="1:5" ht="13.5" customHeight="1">
      <c r="A65" s="224" t="s">
        <v>36</v>
      </c>
      <c r="B65" s="225">
        <f>Лист1!B57+Лист2!B48+Лист3!B43+Лист4!B44+Лист5!B46+Лист6!B44+Лист7!B50+Лист8!B46+Лист9!B47+Лист10!B45</f>
        <v>12182475</v>
      </c>
      <c r="C65" s="225">
        <f>Лист1!C57+Лист2!C48+Лист3!C43+Лист4!C44+Лист5!C46+Лист6!C44+Лист7!C50+Лист8!C46+Лист9!C47+Лист10!C45</f>
        <v>6236199.93</v>
      </c>
      <c r="D65" s="222">
        <f t="shared" si="2"/>
        <v>51.18992593869473</v>
      </c>
      <c r="E65" s="223">
        <f t="shared" si="3"/>
        <v>-5946275.07</v>
      </c>
    </row>
    <row r="66" spans="1:5" ht="15">
      <c r="A66" s="224" t="s">
        <v>122</v>
      </c>
      <c r="B66" s="225">
        <f>Лист1!B58+Лист2!B49+Лист3!B44+Лист4!B45+Лист5!B47+Лист6!B45+Лист7!B51+Лист8!B47+Лист9!B48+Лист10!B46</f>
        <v>7968295</v>
      </c>
      <c r="C66" s="225">
        <f>Лист1!C58+Лист2!C49+Лист3!C44+Лист4!C45+Лист5!C47+Лист6!C45+Лист7!C51+Лист8!C47+Лист9!C48+Лист10!C46</f>
        <v>4171449.5900000003</v>
      </c>
      <c r="D66" s="222">
        <f t="shared" si="2"/>
        <v>52.35059181418359</v>
      </c>
      <c r="E66" s="223">
        <f t="shared" si="3"/>
        <v>-3796845.4099999997</v>
      </c>
    </row>
    <row r="67" spans="1:5" ht="15">
      <c r="A67" s="224" t="s">
        <v>96</v>
      </c>
      <c r="B67" s="225">
        <f>Лист1!B59+Лист2!B50+Лист3!B45+Лист4!B46+Лист5!B48+Лист6!B46+Лист7!B52+Лист8!B48+Лист9!B49+Лист10!B47</f>
        <v>372900</v>
      </c>
      <c r="C67" s="225">
        <f>Лист1!C59+Лист2!C50+Лист3!C45+Лист4!C46+Лист5!C48+Лист6!C46+Лист7!C52+Лист8!C48+Лист9!C49+Лист10!C47</f>
        <v>0</v>
      </c>
      <c r="D67" s="222">
        <f t="shared" si="2"/>
        <v>0</v>
      </c>
      <c r="E67" s="223">
        <f t="shared" si="3"/>
        <v>-372900</v>
      </c>
    </row>
    <row r="68" spans="1:5" ht="15">
      <c r="A68" s="224" t="s">
        <v>52</v>
      </c>
      <c r="B68" s="210">
        <f>B69+B74+B71+B72+B70+B73</f>
        <v>438324</v>
      </c>
      <c r="C68" s="210">
        <f>C69+C74+C71+C72+C70+C73</f>
        <v>93484</v>
      </c>
      <c r="D68" s="222">
        <f t="shared" si="2"/>
        <v>21.32760241282704</v>
      </c>
      <c r="E68" s="223">
        <f t="shared" si="3"/>
        <v>-344840</v>
      </c>
    </row>
    <row r="69" spans="1:5" ht="57.75" customHeight="1">
      <c r="A69" s="238" t="s">
        <v>166</v>
      </c>
      <c r="B69" s="225">
        <f>Лист7!B54+Лист1!B61+Лист2!B52+Лист3!B47+Лист4!B49+Лист5!B50+Лист6!B48+Лист8!B50+Лист9!B53+Лист10!B49</f>
        <v>23200</v>
      </c>
      <c r="C69" s="225">
        <f>Лист7!C54+Лист1!C61+Лист2!C52+Лист3!C47+Лист4!C49+Лист5!C50+Лист6!C48+Лист8!C50+Лист9!C53+Лист10!C49</f>
        <v>0</v>
      </c>
      <c r="D69" s="222">
        <f t="shared" si="2"/>
        <v>0</v>
      </c>
      <c r="E69" s="223">
        <f t="shared" si="3"/>
        <v>-23200</v>
      </c>
    </row>
    <row r="70" spans="1:5" ht="42.75" customHeight="1">
      <c r="A70" s="238" t="s">
        <v>213</v>
      </c>
      <c r="B70" s="225">
        <f>Лист1!B62+Лист7!B55</f>
        <v>0</v>
      </c>
      <c r="C70" s="225">
        <f>Лист1!C62+Лист7!C55</f>
        <v>0</v>
      </c>
      <c r="D70" s="222" t="str">
        <f t="shared" si="2"/>
        <v>   </v>
      </c>
      <c r="E70" s="223">
        <f>C70-B70</f>
        <v>0</v>
      </c>
    </row>
    <row r="71" spans="1:5" ht="26.25" customHeight="1">
      <c r="A71" s="238" t="s">
        <v>201</v>
      </c>
      <c r="B71" s="225">
        <f>Лист9!B51</f>
        <v>0</v>
      </c>
      <c r="C71" s="225">
        <f>Лист9!C51</f>
        <v>0</v>
      </c>
      <c r="D71" s="222" t="str">
        <f t="shared" si="2"/>
        <v>   </v>
      </c>
      <c r="E71" s="223">
        <f>C71-B71</f>
        <v>0</v>
      </c>
    </row>
    <row r="72" spans="1:5" ht="48" customHeight="1">
      <c r="A72" s="238" t="s">
        <v>272</v>
      </c>
      <c r="B72" s="225">
        <f>Лист9!B52</f>
        <v>3460</v>
      </c>
      <c r="C72" s="225">
        <f>Лист9!C52</f>
        <v>3460</v>
      </c>
      <c r="D72" s="222">
        <f t="shared" si="2"/>
        <v>100</v>
      </c>
      <c r="E72" s="223">
        <f>C72-B72</f>
        <v>0</v>
      </c>
    </row>
    <row r="73" spans="1:5" ht="42" customHeight="1">
      <c r="A73" s="238" t="s">
        <v>263</v>
      </c>
      <c r="B73" s="225">
        <f>Лист7!B56</f>
        <v>200000</v>
      </c>
      <c r="C73" s="225">
        <f>Лист7!C56</f>
        <v>90024</v>
      </c>
      <c r="D73" s="225">
        <f>Лист7!D56</f>
        <v>45.012</v>
      </c>
      <c r="E73" s="223">
        <f>C73-B73</f>
        <v>-109976</v>
      </c>
    </row>
    <row r="74" spans="1:5" ht="24" customHeight="1">
      <c r="A74" s="224" t="s">
        <v>254</v>
      </c>
      <c r="B74" s="225">
        <f>Лист7!B57+Лист5!B49</f>
        <v>211664</v>
      </c>
      <c r="C74" s="225">
        <f>Лист7!C57+Лист5!C49</f>
        <v>0</v>
      </c>
      <c r="D74" s="222">
        <f t="shared" si="2"/>
        <v>0</v>
      </c>
      <c r="E74" s="223">
        <f t="shared" si="3"/>
        <v>-211664</v>
      </c>
    </row>
    <row r="75" spans="1:5" ht="15">
      <c r="A75" s="224" t="s">
        <v>49</v>
      </c>
      <c r="B75" s="210">
        <f>SUM(B76)</f>
        <v>1069000</v>
      </c>
      <c r="C75" s="210">
        <f>SUM(C76)</f>
        <v>585986.88</v>
      </c>
      <c r="D75" s="222">
        <f t="shared" si="2"/>
        <v>54.8163592142189</v>
      </c>
      <c r="E75" s="223">
        <f t="shared" si="3"/>
        <v>-483013.12</v>
      </c>
    </row>
    <row r="76" spans="1:5" ht="29.25" customHeight="1">
      <c r="A76" s="224" t="s">
        <v>108</v>
      </c>
      <c r="B76" s="225">
        <f>Лист1!B64+Лист2!B54+Лист3!B50+Лист4!B51+Лист5!B53+Лист6!B50+Лист7!B59+Лист8!B52+Лист9!B55+Лист10!B51</f>
        <v>1069000</v>
      </c>
      <c r="C76" s="225">
        <f>Лист1!C64+Лист2!C54+Лист3!C50+Лист4!C51+Лист5!C53+Лист6!C50+Лист7!C59+Лист8!C52+Лист9!C55+Лист10!C51</f>
        <v>585986.88</v>
      </c>
      <c r="D76" s="222">
        <f t="shared" si="2"/>
        <v>54.8163592142189</v>
      </c>
      <c r="E76" s="223">
        <f t="shared" si="3"/>
        <v>-483013.12</v>
      </c>
    </row>
    <row r="77" spans="1:5" ht="30">
      <c r="A77" s="224" t="s">
        <v>37</v>
      </c>
      <c r="B77" s="225">
        <f>Лист1!B65+Лист2!B55+Лист3!B51+Лист4!B52+Лист5!B54+Лист6!B51+Лист7!B60+Лист8!B53+Лист9!B56+Лист10!B52</f>
        <v>953200</v>
      </c>
      <c r="C77" s="225">
        <f>Лист1!C65+Лист2!C55+Лист3!C51+Лист4!C52+Лист5!C54+Лист6!C51+Лист7!C60+Лист8!C53+Лист9!C56+Лист10!C52</f>
        <v>464530.2</v>
      </c>
      <c r="D77" s="222">
        <f t="shared" si="2"/>
        <v>48.73375996642888</v>
      </c>
      <c r="E77" s="223">
        <f t="shared" si="3"/>
        <v>-488669.8</v>
      </c>
    </row>
    <row r="78" spans="1:5" ht="45" customHeight="1">
      <c r="A78" s="224" t="s">
        <v>87</v>
      </c>
      <c r="B78" s="210">
        <f>Лист7!B61</f>
        <v>875200</v>
      </c>
      <c r="C78" s="210">
        <f>Лист7!C61</f>
        <v>464530.2</v>
      </c>
      <c r="D78" s="222">
        <f t="shared" si="2"/>
        <v>53.077033820840946</v>
      </c>
      <c r="E78" s="223">
        <f t="shared" si="3"/>
        <v>-410669.8</v>
      </c>
    </row>
    <row r="79" spans="1:5" ht="18.75" customHeight="1">
      <c r="A79" s="224" t="s">
        <v>97</v>
      </c>
      <c r="B79" s="225">
        <f>Лист7!B62</f>
        <v>875200</v>
      </c>
      <c r="C79" s="225">
        <f>Лист7!C62</f>
        <v>464530.2</v>
      </c>
      <c r="D79" s="222">
        <f t="shared" si="2"/>
        <v>53.077033820840946</v>
      </c>
      <c r="E79" s="223">
        <f t="shared" si="3"/>
        <v>-410669.8</v>
      </c>
    </row>
    <row r="80" spans="1:5" ht="15.75" customHeight="1">
      <c r="A80" s="224" t="s">
        <v>122</v>
      </c>
      <c r="B80" s="225">
        <f>Лист7!B63</f>
        <v>652900</v>
      </c>
      <c r="C80" s="225">
        <f>Лист7!C63</f>
        <v>333450.9</v>
      </c>
      <c r="D80" s="222">
        <f t="shared" si="2"/>
        <v>51.07227753101547</v>
      </c>
      <c r="E80" s="223">
        <f t="shared" si="3"/>
        <v>-319449.1</v>
      </c>
    </row>
    <row r="81" spans="1:5" ht="15">
      <c r="A81" s="224" t="s">
        <v>98</v>
      </c>
      <c r="B81" s="225">
        <f>Лист1!B66+Лист2!B56+Лист3!B52+Лист4!B53+Лист5!B55+Лист6!B52+Лист7!B64+Лист8!B54+Лист9!B57+Лист10!B53</f>
        <v>78000</v>
      </c>
      <c r="C81" s="225">
        <f>Лист1!C66+Лист2!C56+Лист3!C52+Лист4!C53+Лист5!C55+Лист6!C52+Лист7!C64+Лист8!C54+Лист9!C57+Лист10!C53</f>
        <v>0</v>
      </c>
      <c r="D81" s="222">
        <f t="shared" si="2"/>
        <v>0</v>
      </c>
      <c r="E81" s="223">
        <f t="shared" si="3"/>
        <v>-78000</v>
      </c>
    </row>
    <row r="82" spans="1:5" ht="15">
      <c r="A82" s="224" t="s">
        <v>38</v>
      </c>
      <c r="B82" s="210">
        <f>B86+B83+B107</f>
        <v>11739219</v>
      </c>
      <c r="C82" s="210">
        <f>C86+C83+C107</f>
        <v>4797055.73</v>
      </c>
      <c r="D82" s="222">
        <f t="shared" si="2"/>
        <v>40.863499777966496</v>
      </c>
      <c r="E82" s="223">
        <f t="shared" si="3"/>
        <v>-6942163.27</v>
      </c>
    </row>
    <row r="83" spans="1:5" ht="21" customHeight="1">
      <c r="A83" s="239" t="s">
        <v>208</v>
      </c>
      <c r="B83" s="210">
        <f>B85+B84</f>
        <v>108200</v>
      </c>
      <c r="C83" s="210">
        <f>C85+C84</f>
        <v>22000</v>
      </c>
      <c r="D83" s="222">
        <f t="shared" si="2"/>
        <v>20.33271719038817</v>
      </c>
      <c r="E83" s="223">
        <f>C83-B83</f>
        <v>-86200</v>
      </c>
    </row>
    <row r="84" spans="1:5" ht="30" customHeight="1">
      <c r="A84" s="240" t="s">
        <v>188</v>
      </c>
      <c r="B84" s="210">
        <f>Лист10!B56+Лист7!B67+Лист2!B60+Лист6!B56+Лист1!B70+Лист3!B56+Лист4!B57+Лист5!B59+Лист8!B58+Лист9!B61</f>
        <v>60000</v>
      </c>
      <c r="C84" s="210">
        <f>Лист10!C56+Лист7!C67+Лист2!C60+Лист6!C56+Лист1!C70+Лист3!C56+Лист4!C57+Лист5!C59+Лист8!C58+Лист9!C61</f>
        <v>16814.5</v>
      </c>
      <c r="D84" s="222">
        <f t="shared" si="2"/>
        <v>28.024166666666666</v>
      </c>
      <c r="E84" s="223">
        <f>C84-B84</f>
        <v>-43185.5</v>
      </c>
    </row>
    <row r="85" spans="1:5" ht="30">
      <c r="A85" s="241" t="s">
        <v>181</v>
      </c>
      <c r="B85" s="210">
        <f>Лист1!B69+Лист2!B59+Лист3!B55+Лист4!B56+Лист5!B58+Лист6!B55+Лист7!B68+Лист8!B57+Лист9!B60+Лист10!B57</f>
        <v>48200</v>
      </c>
      <c r="C85" s="210">
        <f>Лист1!C69+Лист2!C59+Лист3!C55+Лист4!C56+Лист5!C58+Лист6!C55+Лист7!C68+Лист8!C57+Лист9!C60+Лист10!C57</f>
        <v>5185.5</v>
      </c>
      <c r="D85" s="222">
        <f t="shared" si="2"/>
        <v>10.758298755186722</v>
      </c>
      <c r="E85" s="223">
        <f>C85-B85</f>
        <v>-43014.5</v>
      </c>
    </row>
    <row r="86" spans="1:5" ht="15">
      <c r="A86" s="242" t="s">
        <v>134</v>
      </c>
      <c r="B86" s="210">
        <f>B87+B94+B96+B98+B97+B91+B92+B95+B101+B105+B100+B99+B93</f>
        <v>11446519</v>
      </c>
      <c r="C86" s="210">
        <f>C87+C94+C96+C98+C97+C91+C92+C95+C101+C105+C100+C99+C93</f>
        <v>4732555.73</v>
      </c>
      <c r="D86" s="222">
        <f aca="true" t="shared" si="4" ref="D86:D113">IF(B86=0,"   ",C86/B86*100)</f>
        <v>41.344934036277756</v>
      </c>
      <c r="E86" s="223">
        <f t="shared" si="3"/>
        <v>-6713963.27</v>
      </c>
    </row>
    <row r="87" spans="1:5" ht="30">
      <c r="A87" s="238" t="s">
        <v>277</v>
      </c>
      <c r="B87" s="210">
        <f>B89+B88+B90</f>
        <v>540000</v>
      </c>
      <c r="C87" s="210">
        <f>C89+C88+C90</f>
        <v>360000</v>
      </c>
      <c r="D87" s="222">
        <f>IF(B87=0,"   ",C87/B87*100)</f>
        <v>66.66666666666666</v>
      </c>
      <c r="E87" s="223">
        <f>C87-B87</f>
        <v>-180000</v>
      </c>
    </row>
    <row r="88" spans="1:5" ht="46.5" customHeight="1">
      <c r="A88" s="238" t="s">
        <v>234</v>
      </c>
      <c r="B88" s="210">
        <f>Лист1!B77</f>
        <v>270000</v>
      </c>
      <c r="C88" s="210">
        <f>Лист1!C77</f>
        <v>270000</v>
      </c>
      <c r="D88" s="222">
        <f>IF(B88=0,"   ",C88/B88*100)</f>
        <v>100</v>
      </c>
      <c r="E88" s="223">
        <f>C88-B88</f>
        <v>0</v>
      </c>
    </row>
    <row r="89" spans="1:5" ht="44.25" customHeight="1">
      <c r="A89" s="120" t="s">
        <v>278</v>
      </c>
      <c r="B89" s="210">
        <f>Лист1!B78</f>
        <v>180000</v>
      </c>
      <c r="C89" s="210">
        <f>Лист1!C78</f>
        <v>0</v>
      </c>
      <c r="D89" s="222">
        <f t="shared" si="4"/>
        <v>0</v>
      </c>
      <c r="E89" s="223">
        <f t="shared" si="3"/>
        <v>-180000</v>
      </c>
    </row>
    <row r="90" spans="1:5" ht="45.75" customHeight="1">
      <c r="A90" s="120" t="s">
        <v>291</v>
      </c>
      <c r="B90" s="210">
        <f>Лист1!B79</f>
        <v>90000</v>
      </c>
      <c r="C90" s="210">
        <f>Лист1!C79</f>
        <v>90000</v>
      </c>
      <c r="D90" s="222">
        <f t="shared" si="4"/>
        <v>100</v>
      </c>
      <c r="E90" s="223">
        <f t="shared" si="3"/>
        <v>0</v>
      </c>
    </row>
    <row r="91" spans="1:5" ht="27" customHeight="1">
      <c r="A91" s="240" t="s">
        <v>203</v>
      </c>
      <c r="B91" s="210">
        <f>Лист1!B82+Лист9!B65</f>
        <v>11500</v>
      </c>
      <c r="C91" s="210">
        <f>Лист1!C82+Лист9!C65</f>
        <v>0</v>
      </c>
      <c r="D91" s="222">
        <f t="shared" si="4"/>
        <v>0</v>
      </c>
      <c r="E91" s="223">
        <f t="shared" si="3"/>
        <v>-11500</v>
      </c>
    </row>
    <row r="92" spans="1:5" ht="27" customHeight="1">
      <c r="A92" s="243" t="s">
        <v>211</v>
      </c>
      <c r="B92" s="210">
        <f>Лист2!B62+Лист3!B59+Лист6!B59+Лист8!B61+Лист10!B59+Лист5!B61+Лист7!B74+Лист4!B59</f>
        <v>1420986</v>
      </c>
      <c r="C92" s="210">
        <f>Лист2!C62+Лист3!C59+Лист6!C59+Лист8!C61+Лист10!C59+Лист5!C61+Лист7!C74+Лист4!C59</f>
        <v>1018589.71</v>
      </c>
      <c r="D92" s="222">
        <f t="shared" si="4"/>
        <v>71.68189623261594</v>
      </c>
      <c r="E92" s="223">
        <f>C92-B92</f>
        <v>-402396.29000000004</v>
      </c>
    </row>
    <row r="93" spans="1:5" ht="27" customHeight="1">
      <c r="A93" s="240" t="s">
        <v>246</v>
      </c>
      <c r="B93" s="210">
        <f>Лист7!B75</f>
        <v>0</v>
      </c>
      <c r="C93" s="210">
        <f>Лист7!C75</f>
        <v>0</v>
      </c>
      <c r="D93" s="222" t="str">
        <f t="shared" si="4"/>
        <v>   </v>
      </c>
      <c r="E93" s="223">
        <f>C93-B93</f>
        <v>0</v>
      </c>
    </row>
    <row r="94" spans="1:5" ht="46.5" customHeight="1">
      <c r="A94" s="241" t="s">
        <v>135</v>
      </c>
      <c r="B94" s="210">
        <f>Лист1!B83+Лист2!B63+Лист3!B60+Лист4!B60+Лист5!B62+Лист6!B60+Лист7!B76+Лист8!B62+Лист9!B66+Лист10!B60</f>
        <v>4089700</v>
      </c>
      <c r="C94" s="210">
        <f>Лист1!C83+Лист2!C63+Лист3!C60+Лист4!C60+Лист5!C62+Лист6!C60+Лист7!C76+Лист8!C62+Лист9!C66+Лист10!C60</f>
        <v>1673213.92</v>
      </c>
      <c r="D94" s="222">
        <f t="shared" si="4"/>
        <v>40.91287673912512</v>
      </c>
      <c r="E94" s="223">
        <f t="shared" si="3"/>
        <v>-2416486.08</v>
      </c>
    </row>
    <row r="95" spans="1:5" ht="47.25" customHeight="1">
      <c r="A95" s="238" t="s">
        <v>195</v>
      </c>
      <c r="B95" s="210">
        <f>Лист3!B61</f>
        <v>0</v>
      </c>
      <c r="C95" s="210">
        <f>Лист3!C61</f>
        <v>0</v>
      </c>
      <c r="D95" s="222" t="str">
        <f t="shared" si="4"/>
        <v>   </v>
      </c>
      <c r="E95" s="223">
        <f>C95-B95</f>
        <v>0</v>
      </c>
    </row>
    <row r="96" spans="1:5" ht="45" customHeight="1">
      <c r="A96" s="238" t="s">
        <v>202</v>
      </c>
      <c r="B96" s="210">
        <f>Лист1!B84+Лист2!B64+Лист3!B62+Лист4!B61+Лист5!B63+Лист6!B61+Лист7!B77+Лист8!B63+Лист9!B67+Лист10!B61</f>
        <v>3526400</v>
      </c>
      <c r="C96" s="210">
        <f>Лист1!C84+Лист2!C64+Лист3!C62+Лист4!C61+Лист5!C63+Лист6!C61+Лист7!C77+Лист8!C63+Лист9!C67+Лист10!C61</f>
        <v>1611848</v>
      </c>
      <c r="D96" s="222">
        <f t="shared" si="4"/>
        <v>45.70803085299456</v>
      </c>
      <c r="E96" s="223">
        <f t="shared" si="3"/>
        <v>-1914552</v>
      </c>
    </row>
    <row r="97" spans="1:5" ht="52.5" customHeight="1">
      <c r="A97" s="238" t="s">
        <v>226</v>
      </c>
      <c r="B97" s="210">
        <f>Лист7!B78</f>
        <v>1615800</v>
      </c>
      <c r="C97" s="210">
        <f>Лист7!C78</f>
        <v>0</v>
      </c>
      <c r="D97" s="222">
        <f t="shared" si="4"/>
        <v>0</v>
      </c>
      <c r="E97" s="223">
        <f aca="true" t="shared" si="5" ref="E97:E149">C97-B97</f>
        <v>-1615800</v>
      </c>
    </row>
    <row r="98" spans="1:5" ht="30.75" customHeight="1">
      <c r="A98" s="238" t="s">
        <v>184</v>
      </c>
      <c r="B98" s="210">
        <f>Лист7!B79</f>
        <v>179533</v>
      </c>
      <c r="C98" s="210">
        <f>Лист7!C79</f>
        <v>68904.1</v>
      </c>
      <c r="D98" s="222">
        <f t="shared" si="4"/>
        <v>38.37962937175895</v>
      </c>
      <c r="E98" s="223">
        <f t="shared" si="5"/>
        <v>-110628.9</v>
      </c>
    </row>
    <row r="99" spans="1:5" ht="30.75" customHeight="1">
      <c r="A99" s="238" t="s">
        <v>247</v>
      </c>
      <c r="B99" s="210">
        <f>Лист7!B80</f>
        <v>0</v>
      </c>
      <c r="C99" s="210">
        <f>Лист7!C80</f>
        <v>0</v>
      </c>
      <c r="D99" s="222" t="str">
        <f t="shared" si="4"/>
        <v>   </v>
      </c>
      <c r="E99" s="223">
        <f t="shared" si="5"/>
        <v>0</v>
      </c>
    </row>
    <row r="100" spans="1:5" ht="30" customHeight="1">
      <c r="A100" s="238" t="s">
        <v>245</v>
      </c>
      <c r="B100" s="210">
        <v>0</v>
      </c>
      <c r="C100" s="210">
        <v>0</v>
      </c>
      <c r="D100" s="222" t="str">
        <f t="shared" si="4"/>
        <v>   </v>
      </c>
      <c r="E100" s="223">
        <f t="shared" si="5"/>
        <v>0</v>
      </c>
    </row>
    <row r="101" spans="1:5" ht="30.75" customHeight="1">
      <c r="A101" s="238" t="s">
        <v>224</v>
      </c>
      <c r="B101" s="214">
        <f>B102+B104+B103</f>
        <v>0</v>
      </c>
      <c r="C101" s="214">
        <f>C102+C104+C103</f>
        <v>0</v>
      </c>
      <c r="D101" s="211" t="str">
        <f>IF(B101=0,"   ",C101/B101)</f>
        <v>   </v>
      </c>
      <c r="E101" s="212">
        <f t="shared" si="5"/>
        <v>0</v>
      </c>
    </row>
    <row r="102" spans="1:5" ht="15">
      <c r="A102" s="238" t="s">
        <v>221</v>
      </c>
      <c r="B102" s="214">
        <f>Лист7!B83</f>
        <v>0</v>
      </c>
      <c r="C102" s="214">
        <f>Лист7!C83</f>
        <v>0</v>
      </c>
      <c r="D102" s="211" t="str">
        <f>IF(B102=0,"   ",C102/B102)</f>
        <v>   </v>
      </c>
      <c r="E102" s="212">
        <f t="shared" si="5"/>
        <v>0</v>
      </c>
    </row>
    <row r="103" spans="1:5" ht="15">
      <c r="A103" s="238" t="s">
        <v>222</v>
      </c>
      <c r="B103" s="214">
        <f>Лист7!B84</f>
        <v>0</v>
      </c>
      <c r="C103" s="214">
        <f>Лист7!C84</f>
        <v>0</v>
      </c>
      <c r="D103" s="211" t="str">
        <f>IF(B103=0,"   ",C103/B103)</f>
        <v>   </v>
      </c>
      <c r="E103" s="212">
        <f t="shared" si="5"/>
        <v>0</v>
      </c>
    </row>
    <row r="104" spans="1:5" ht="15">
      <c r="A104" s="241" t="s">
        <v>223</v>
      </c>
      <c r="B104" s="214">
        <f>Лист7!B85</f>
        <v>0</v>
      </c>
      <c r="C104" s="214">
        <f>Лист7!C85</f>
        <v>0</v>
      </c>
      <c r="D104" s="211" t="str">
        <f>IF(B104=0,"   ",C104/B104)</f>
        <v>   </v>
      </c>
      <c r="E104" s="212">
        <f t="shared" si="5"/>
        <v>0</v>
      </c>
    </row>
    <row r="105" spans="1:5" ht="30">
      <c r="A105" s="238" t="s">
        <v>228</v>
      </c>
      <c r="B105" s="214">
        <f>Лист7!B86</f>
        <v>62600</v>
      </c>
      <c r="C105" s="214">
        <f>Лист7!C86</f>
        <v>0</v>
      </c>
      <c r="D105" s="214">
        <f>Лист7!D86</f>
        <v>0</v>
      </c>
      <c r="E105" s="214">
        <f>Лист7!E86</f>
        <v>-62600</v>
      </c>
    </row>
    <row r="106" spans="1:5" ht="15">
      <c r="A106" s="238" t="s">
        <v>229</v>
      </c>
      <c r="B106" s="214">
        <f>Лист7!B87</f>
        <v>62600</v>
      </c>
      <c r="C106" s="214">
        <f>Лист7!C87</f>
        <v>0</v>
      </c>
      <c r="D106" s="214">
        <f>Лист7!D87</f>
        <v>0</v>
      </c>
      <c r="E106" s="214">
        <f>Лист7!E87</f>
        <v>-62600</v>
      </c>
    </row>
    <row r="107" spans="1:5" ht="18.75" customHeight="1">
      <c r="A107" s="242" t="s">
        <v>217</v>
      </c>
      <c r="B107" s="210">
        <f>B108+B109</f>
        <v>184500</v>
      </c>
      <c r="C107" s="210">
        <f>C108+C109</f>
        <v>42500</v>
      </c>
      <c r="D107" s="222">
        <f t="shared" si="4"/>
        <v>23.035230352303522</v>
      </c>
      <c r="E107" s="223">
        <f t="shared" si="5"/>
        <v>-142000</v>
      </c>
    </row>
    <row r="108" spans="1:5" ht="30" customHeight="1">
      <c r="A108" s="240" t="s">
        <v>218</v>
      </c>
      <c r="B108" s="210">
        <f>Лист2!B66+Лист3!B64+Лист1!B86</f>
        <v>129500</v>
      </c>
      <c r="C108" s="210">
        <f>Лист2!C66+Лист3!C64+Лист1!C86</f>
        <v>42500</v>
      </c>
      <c r="D108" s="222">
        <f t="shared" si="4"/>
        <v>32.818532818532816</v>
      </c>
      <c r="E108" s="223">
        <f>C108-B108</f>
        <v>-87000</v>
      </c>
    </row>
    <row r="109" spans="1:5" ht="46.5" customHeight="1">
      <c r="A109" s="87" t="s">
        <v>295</v>
      </c>
      <c r="B109" s="210">
        <f>Лист1!B87</f>
        <v>55000</v>
      </c>
      <c r="C109" s="210">
        <f>Лист1!C87</f>
        <v>0</v>
      </c>
      <c r="D109" s="222"/>
      <c r="E109" s="223"/>
    </row>
    <row r="110" spans="1:5" ht="15.75" customHeight="1">
      <c r="A110" s="224" t="s">
        <v>13</v>
      </c>
      <c r="B110" s="225">
        <f>SUM(B111,B114,B125,)</f>
        <v>28385647.7</v>
      </c>
      <c r="C110" s="225">
        <f>SUM(C111,C114,C125,)</f>
        <v>8385747.31</v>
      </c>
      <c r="D110" s="222">
        <f t="shared" si="4"/>
        <v>29.542208790254236</v>
      </c>
      <c r="E110" s="223">
        <f t="shared" si="5"/>
        <v>-19999900.39</v>
      </c>
    </row>
    <row r="111" spans="1:5" ht="14.25" customHeight="1">
      <c r="A111" s="224" t="s">
        <v>14</v>
      </c>
      <c r="B111" s="225">
        <f>SUM(B112:B113)</f>
        <v>1160000</v>
      </c>
      <c r="C111" s="225">
        <f>SUM(C112:C113)</f>
        <v>562817.87</v>
      </c>
      <c r="D111" s="222">
        <f t="shared" si="4"/>
        <v>48.51878189655172</v>
      </c>
      <c r="E111" s="223">
        <f t="shared" si="5"/>
        <v>-597182.13</v>
      </c>
    </row>
    <row r="112" spans="1:5" ht="14.25" customHeight="1">
      <c r="A112" s="224" t="s">
        <v>93</v>
      </c>
      <c r="B112" s="225">
        <f>Лист7!B92+Лист9!B70+Лист1!B92</f>
        <v>800000</v>
      </c>
      <c r="C112" s="225">
        <f>Лист7!C92+Лист9!C70+Лист1!C92</f>
        <v>203417.87</v>
      </c>
      <c r="D112" s="222">
        <f t="shared" si="4"/>
        <v>25.42723375</v>
      </c>
      <c r="E112" s="223">
        <f t="shared" si="5"/>
        <v>-596582.13</v>
      </c>
    </row>
    <row r="113" spans="1:5" ht="21.75" customHeight="1">
      <c r="A113" s="224" t="s">
        <v>225</v>
      </c>
      <c r="B113" s="225">
        <f>Лист7!B93</f>
        <v>360000</v>
      </c>
      <c r="C113" s="225">
        <f>Лист7!C93</f>
        <v>359400</v>
      </c>
      <c r="D113" s="222">
        <f t="shared" si="4"/>
        <v>99.83333333333333</v>
      </c>
      <c r="E113" s="223">
        <f>C113-B113</f>
        <v>-600</v>
      </c>
    </row>
    <row r="114" spans="1:5" ht="14.25" customHeight="1">
      <c r="A114" s="224" t="s">
        <v>70</v>
      </c>
      <c r="B114" s="225">
        <f>SUM(B115:B116,B120:B124)</f>
        <v>4861753.859999999</v>
      </c>
      <c r="C114" s="225">
        <f>SUM(C115:C116,C120:C124)</f>
        <v>1606263.08</v>
      </c>
      <c r="D114" s="222">
        <f aca="true" t="shared" si="6" ref="D114:D155">IF(B114=0,"   ",C114/B114*100)</f>
        <v>33.03875774574899</v>
      </c>
      <c r="E114" s="223">
        <f t="shared" si="5"/>
        <v>-3255490.7799999993</v>
      </c>
    </row>
    <row r="115" spans="1:5" ht="15">
      <c r="A115" s="224" t="s">
        <v>71</v>
      </c>
      <c r="B115" s="225">
        <f>Лист7!B99</f>
        <v>600000</v>
      </c>
      <c r="C115" s="225">
        <f>Лист7!C99</f>
        <v>202343.35</v>
      </c>
      <c r="D115" s="222">
        <f t="shared" si="6"/>
        <v>33.72389166666667</v>
      </c>
      <c r="E115" s="223">
        <f t="shared" si="5"/>
        <v>-397656.65</v>
      </c>
    </row>
    <row r="116" spans="1:5" ht="30">
      <c r="A116" s="238" t="s">
        <v>277</v>
      </c>
      <c r="B116" s="225">
        <f>SUM(B117:B119)</f>
        <v>3119075.6</v>
      </c>
      <c r="C116" s="225">
        <f>SUM(C117:C119)</f>
        <v>559795.6</v>
      </c>
      <c r="D116" s="222">
        <f t="shared" si="6"/>
        <v>17.947484184096083</v>
      </c>
      <c r="E116" s="223">
        <f t="shared" si="5"/>
        <v>-2559280</v>
      </c>
    </row>
    <row r="117" spans="1:5" ht="44.25" customHeight="1">
      <c r="A117" s="238" t="s">
        <v>287</v>
      </c>
      <c r="B117" s="225">
        <f>Лист2!B71+Лист5!B67+Лист6!B65+Лист10!B65</f>
        <v>1621800</v>
      </c>
      <c r="C117" s="225">
        <f>Лист2!C71+Лист5!C67+Лист6!C65</f>
        <v>516734.4</v>
      </c>
      <c r="D117" s="222">
        <f aca="true" t="shared" si="7" ref="D117:D123">IF(B117=0,"   ",C117/B117*100)</f>
        <v>31.861783203847576</v>
      </c>
      <c r="E117" s="223">
        <f aca="true" t="shared" si="8" ref="E117:E123">C117-B117</f>
        <v>-1105065.6</v>
      </c>
    </row>
    <row r="118" spans="1:5" ht="44.25" customHeight="1">
      <c r="A118" s="238" t="s">
        <v>288</v>
      </c>
      <c r="B118" s="225">
        <f>Лист2!B72+Лист5!B68+Лист6!B66+Лист10!B66</f>
        <v>918331.7</v>
      </c>
      <c r="C118" s="225">
        <f>Лист2!C72+Лист5!C68+Лист6!C66</f>
        <v>0</v>
      </c>
      <c r="D118" s="222">
        <f>IF(B118=0,"   ",C118/B118*100)</f>
        <v>0</v>
      </c>
      <c r="E118" s="223">
        <f>C118-B118</f>
        <v>-918331.7</v>
      </c>
    </row>
    <row r="119" spans="1:5" ht="44.25" customHeight="1">
      <c r="A119" s="238" t="s">
        <v>289</v>
      </c>
      <c r="B119" s="225">
        <f>Лист2!B73+Лист5!B69+Лист6!B67+Лист7!B98+Лист10!B67</f>
        <v>578943.9</v>
      </c>
      <c r="C119" s="225">
        <f>Лист2!C73+Лист5!C69+Лист6!C67</f>
        <v>43061.2</v>
      </c>
      <c r="D119" s="222">
        <f t="shared" si="7"/>
        <v>7.437888196075646</v>
      </c>
      <c r="E119" s="223">
        <f t="shared" si="8"/>
        <v>-535882.7000000001</v>
      </c>
    </row>
    <row r="120" spans="1:5" ht="77.25" customHeight="1">
      <c r="A120" s="224" t="s">
        <v>199</v>
      </c>
      <c r="B120" s="225">
        <f>Лист9!B72</f>
        <v>482470</v>
      </c>
      <c r="C120" s="225">
        <f>Лист9!C72</f>
        <v>482470</v>
      </c>
      <c r="D120" s="222">
        <f t="shared" si="7"/>
        <v>100</v>
      </c>
      <c r="E120" s="223">
        <f t="shared" si="8"/>
        <v>0</v>
      </c>
    </row>
    <row r="121" spans="1:5" ht="72" customHeight="1">
      <c r="A121" s="224" t="s">
        <v>273</v>
      </c>
      <c r="B121" s="225">
        <f>Лист9!B73</f>
        <v>18888.74</v>
      </c>
      <c r="C121" s="225">
        <f>Лист9!C73</f>
        <v>18888.74</v>
      </c>
      <c r="D121" s="222">
        <f t="shared" si="7"/>
        <v>100</v>
      </c>
      <c r="E121" s="223">
        <f t="shared" si="8"/>
        <v>0</v>
      </c>
    </row>
    <row r="122" spans="1:5" ht="33.75" customHeight="1">
      <c r="A122" s="224" t="s">
        <v>265</v>
      </c>
      <c r="B122" s="225">
        <f>Лист1!B95</f>
        <v>17293.6</v>
      </c>
      <c r="C122" s="225">
        <f>Лист1!C95</f>
        <v>17293.6</v>
      </c>
      <c r="D122" s="222">
        <f t="shared" si="7"/>
        <v>100</v>
      </c>
      <c r="E122" s="223">
        <f t="shared" si="8"/>
        <v>0</v>
      </c>
    </row>
    <row r="123" spans="1:5" ht="45">
      <c r="A123" s="224" t="s">
        <v>262</v>
      </c>
      <c r="B123" s="225">
        <f>Лист2!B69+Лист7!B95</f>
        <v>321000</v>
      </c>
      <c r="C123" s="225">
        <f>Лист2!C69+Лист7!C95</f>
        <v>121905.15</v>
      </c>
      <c r="D123" s="222">
        <f t="shared" si="7"/>
        <v>37.97668224299065</v>
      </c>
      <c r="E123" s="223">
        <f t="shared" si="8"/>
        <v>-199094.85</v>
      </c>
    </row>
    <row r="124" spans="1:5" ht="35.25" customHeight="1">
      <c r="A124" s="221" t="s">
        <v>171</v>
      </c>
      <c r="B124" s="225">
        <f>Лист7!B96+Лист9!B74+Лист1!B94</f>
        <v>303025.92</v>
      </c>
      <c r="C124" s="225">
        <f>Лист7!C96+Лист9!C74+Лист2!C69+Лист1!C94</f>
        <v>203566.64</v>
      </c>
      <c r="D124" s="222">
        <f t="shared" si="6"/>
        <v>67.17796286205484</v>
      </c>
      <c r="E124" s="223">
        <f t="shared" si="5"/>
        <v>-99459.27999999997</v>
      </c>
    </row>
    <row r="125" spans="1:5" ht="15">
      <c r="A125" s="224" t="s">
        <v>72</v>
      </c>
      <c r="B125" s="225">
        <f>B126+B128+B129+B130+B136+B127+B137+B141+B131</f>
        <v>22363893.84</v>
      </c>
      <c r="C125" s="225">
        <f>C126+C128+C129+C130+C136+C127+C137+C141+C131</f>
        <v>6216666.359999999</v>
      </c>
      <c r="D125" s="222">
        <f t="shared" si="6"/>
        <v>27.797781569150924</v>
      </c>
      <c r="E125" s="223">
        <f t="shared" si="5"/>
        <v>-16147227.48</v>
      </c>
    </row>
    <row r="126" spans="1:5" ht="15">
      <c r="A126" s="224" t="s">
        <v>60</v>
      </c>
      <c r="B126" s="225">
        <f>Лист1!B97+Лист2!B76+Лист3!B68+Лист4!B65+Лист5!B71+Лист6!B69+Лист7!B101+Лист8!B70+Лист9!B76+Лист10!B69</f>
        <v>7448851.26</v>
      </c>
      <c r="C126" s="225">
        <f>Лист1!C97+Лист2!C76+Лист3!C68+Лист4!C65+Лист5!C71+Лист6!C69+Лист7!C101+Лист8!C70+Лист9!C76+Лист10!C69</f>
        <v>3106350.42</v>
      </c>
      <c r="D126" s="222">
        <f t="shared" si="6"/>
        <v>41.7024090235358</v>
      </c>
      <c r="E126" s="223">
        <f t="shared" si="5"/>
        <v>-4342500.84</v>
      </c>
    </row>
    <row r="127" spans="1:5" ht="45">
      <c r="A127" s="224" t="s">
        <v>172</v>
      </c>
      <c r="B127" s="225">
        <f>Лист1!B98+Лист2!B77+Лист3!B70+Лист4!B71+Лист5!B73+Лист6!B72+Лист8!B71+Лист10!B70+Лист9!B77</f>
        <v>143000</v>
      </c>
      <c r="C127" s="225">
        <f>Лист1!C98+Лист2!C77+Лист3!C70+Лист4!C71+Лист5!C73+Лист6!C72+Лист8!C71+Лист10!C70+Лист9!C77</f>
        <v>0</v>
      </c>
      <c r="D127" s="222">
        <f t="shared" si="6"/>
        <v>0</v>
      </c>
      <c r="E127" s="223">
        <f t="shared" si="5"/>
        <v>-143000</v>
      </c>
    </row>
    <row r="128" spans="1:5" ht="15">
      <c r="A128" s="224" t="s">
        <v>73</v>
      </c>
      <c r="B128" s="225">
        <f>Лист7!B102</f>
        <v>250000</v>
      </c>
      <c r="C128" s="225">
        <f>Лист7!C102</f>
        <v>180000</v>
      </c>
      <c r="D128" s="222">
        <f t="shared" si="6"/>
        <v>72</v>
      </c>
      <c r="E128" s="223">
        <f t="shared" si="5"/>
        <v>-70000</v>
      </c>
    </row>
    <row r="129" spans="1:5" ht="15">
      <c r="A129" s="224" t="s">
        <v>74</v>
      </c>
      <c r="B129" s="225">
        <f>Лист7!B103</f>
        <v>399900</v>
      </c>
      <c r="C129" s="225">
        <f>Лист7!C103</f>
        <v>109800.49</v>
      </c>
      <c r="D129" s="222">
        <f t="shared" si="6"/>
        <v>27.456986746686674</v>
      </c>
      <c r="E129" s="223">
        <f t="shared" si="5"/>
        <v>-290099.51</v>
      </c>
    </row>
    <row r="130" spans="1:5" ht="15">
      <c r="A130" s="224" t="s">
        <v>75</v>
      </c>
      <c r="B130" s="225">
        <f>Лист1!B99+Лист3!B69+Лист4!B66+Лист5!B72+Лист7!B104+Лист8!B72+Лист9!B78+Лист10!B71+Лист6!B70+Лист2!B82</f>
        <v>6520797.4</v>
      </c>
      <c r="C130" s="225">
        <f>Лист1!C99+Лист3!C69+Лист4!C66+Лист5!C72+Лист7!C104+Лист8!C72+Лист9!C78+Лист10!C71+Лист6!C70+Лист2!C82</f>
        <v>2687870.1999999997</v>
      </c>
      <c r="D130" s="222">
        <f t="shared" si="6"/>
        <v>41.2199618408632</v>
      </c>
      <c r="E130" s="223">
        <f t="shared" si="5"/>
        <v>-3832927.2000000007</v>
      </c>
    </row>
    <row r="131" spans="1:5" ht="30">
      <c r="A131" s="238" t="s">
        <v>277</v>
      </c>
      <c r="B131" s="225">
        <f>SUM(B132:B135)</f>
        <v>851800</v>
      </c>
      <c r="C131" s="225">
        <f>SUM(C132:C135)</f>
        <v>70000</v>
      </c>
      <c r="D131" s="222">
        <f>IF(B131=0,"   ",C131/B131*100)</f>
        <v>8.217891523831886</v>
      </c>
      <c r="E131" s="223">
        <f>C131-B131</f>
        <v>-781800</v>
      </c>
    </row>
    <row r="132" spans="1:5" ht="45">
      <c r="A132" s="238" t="s">
        <v>280</v>
      </c>
      <c r="B132" s="225">
        <f>Лист8!B74+Лист4!B68</f>
        <v>501900</v>
      </c>
      <c r="C132" s="225">
        <f>Лист8!C74+Лист4!C68</f>
        <v>0</v>
      </c>
      <c r="D132" s="222">
        <f t="shared" si="6"/>
        <v>0</v>
      </c>
      <c r="E132" s="223">
        <f t="shared" si="5"/>
        <v>-501900</v>
      </c>
    </row>
    <row r="133" spans="1:5" ht="45">
      <c r="A133" s="238" t="s">
        <v>292</v>
      </c>
      <c r="B133" s="225">
        <v>0</v>
      </c>
      <c r="C133" s="225">
        <f>Лист2!C80+Лист4!C69</f>
        <v>0</v>
      </c>
      <c r="D133" s="222" t="str">
        <f t="shared" si="6"/>
        <v>   </v>
      </c>
      <c r="E133" s="223">
        <f t="shared" si="5"/>
        <v>0</v>
      </c>
    </row>
    <row r="134" spans="1:5" ht="45">
      <c r="A134" s="238" t="s">
        <v>293</v>
      </c>
      <c r="B134" s="225">
        <f>Лист4!B69+Лист8!B75</f>
        <v>209900</v>
      </c>
      <c r="C134" s="225">
        <f>Лист4!C69+Лист8!C75</f>
        <v>0</v>
      </c>
      <c r="D134" s="222">
        <f t="shared" si="6"/>
        <v>0</v>
      </c>
      <c r="E134" s="223">
        <f t="shared" si="5"/>
        <v>-209900</v>
      </c>
    </row>
    <row r="135" spans="1:5" ht="45">
      <c r="A135" s="238" t="s">
        <v>294</v>
      </c>
      <c r="B135" s="225">
        <f>Лист4!B70+Лист8!B76</f>
        <v>140000</v>
      </c>
      <c r="C135" s="225">
        <f>Лист4!C70+Лист8!C76</f>
        <v>70000</v>
      </c>
      <c r="D135" s="222">
        <f t="shared" si="6"/>
        <v>50</v>
      </c>
      <c r="E135" s="223">
        <f t="shared" si="5"/>
        <v>-70000</v>
      </c>
    </row>
    <row r="136" spans="1:5" ht="30.75" customHeight="1">
      <c r="A136" s="224" t="s">
        <v>131</v>
      </c>
      <c r="B136" s="210">
        <f>Лист10!B72+Лист7!B105+Лист2!B83+Лист6!B71+Лист1!B101+Лист3!B71+Лист5!B74+Лист8!B77+Лист9!B79</f>
        <v>139600</v>
      </c>
      <c r="C136" s="210">
        <f>Лист10!C72+Лист7!C105+Лист2!C83+Лист6!C71+Лист1!C101+Лист3!C71+Лист5!C74+Лист8!C77+Лист9!C79</f>
        <v>62645.25</v>
      </c>
      <c r="D136" s="222">
        <f t="shared" si="6"/>
        <v>44.87482091690544</v>
      </c>
      <c r="E136" s="223">
        <f t="shared" si="5"/>
        <v>-76954.75</v>
      </c>
    </row>
    <row r="137" spans="1:5" ht="33.75" customHeight="1">
      <c r="A137" s="238" t="s">
        <v>224</v>
      </c>
      <c r="B137" s="214">
        <f>B138+B140+B139</f>
        <v>6609945.18</v>
      </c>
      <c r="C137" s="214">
        <f>C138+C140+C139</f>
        <v>0</v>
      </c>
      <c r="D137" s="211">
        <f>IF(B137=0,"   ",C137/B137)</f>
        <v>0</v>
      </c>
      <c r="E137" s="212">
        <f t="shared" si="5"/>
        <v>-6609945.18</v>
      </c>
    </row>
    <row r="138" spans="1:5" ht="15">
      <c r="A138" s="238" t="s">
        <v>221</v>
      </c>
      <c r="B138" s="214">
        <f>Лист7!B107</f>
        <v>6209299.06</v>
      </c>
      <c r="C138" s="214">
        <f>Лист7!C107</f>
        <v>0</v>
      </c>
      <c r="D138" s="211">
        <f>IF(B138=0,"   ",C138/B138)</f>
        <v>0</v>
      </c>
      <c r="E138" s="212">
        <f t="shared" si="5"/>
        <v>-6209299.06</v>
      </c>
    </row>
    <row r="139" spans="1:5" ht="15">
      <c r="A139" s="238" t="s">
        <v>222</v>
      </c>
      <c r="B139" s="214">
        <f>Лист7!B108</f>
        <v>198169.12</v>
      </c>
      <c r="C139" s="214">
        <f>Лист7!C108</f>
        <v>0</v>
      </c>
      <c r="D139" s="211">
        <f>IF(B139=0,"   ",C139/B139)</f>
        <v>0</v>
      </c>
      <c r="E139" s="212">
        <f t="shared" si="5"/>
        <v>-198169.12</v>
      </c>
    </row>
    <row r="140" spans="1:5" ht="15">
      <c r="A140" s="238" t="s">
        <v>252</v>
      </c>
      <c r="B140" s="214">
        <f>Лист7!B109</f>
        <v>202477</v>
      </c>
      <c r="C140" s="214">
        <f>Лист7!C109</f>
        <v>0</v>
      </c>
      <c r="D140" s="211">
        <f>IF(B140=0,"   ",C140/B140)</f>
        <v>0</v>
      </c>
      <c r="E140" s="212">
        <f t="shared" si="5"/>
        <v>-202477</v>
      </c>
    </row>
    <row r="141" spans="1:5" ht="30">
      <c r="A141" s="238" t="s">
        <v>249</v>
      </c>
      <c r="B141" s="214">
        <f>Лист7!B110</f>
        <v>0</v>
      </c>
      <c r="C141" s="214">
        <f>Лист7!C110</f>
        <v>0</v>
      </c>
      <c r="D141" s="211" t="str">
        <f>IF(B141=0,"   ",C141/B141)</f>
        <v>   </v>
      </c>
      <c r="E141" s="212">
        <f t="shared" si="5"/>
        <v>0</v>
      </c>
    </row>
    <row r="142" spans="1:5" ht="15">
      <c r="A142" s="224" t="s">
        <v>17</v>
      </c>
      <c r="B142" s="225">
        <f>Лист1!B102+Лист2!B84+Лист3!B72+Лист4!B72+Лист5!B75+Лист6!B73+Лист7!B111+Лист8!B78+Лист9!B80+Лист10!B73</f>
        <v>122000</v>
      </c>
      <c r="C142" s="225">
        <f>Лист1!C102+Лист2!C84+Лист3!C72+Лист4!C72+Лист5!C75+Лист6!C73+Лист7!C111+Лист8!C78+Лист9!C80+Лист10!C73</f>
        <v>0</v>
      </c>
      <c r="D142" s="222">
        <f t="shared" si="6"/>
        <v>0</v>
      </c>
      <c r="E142" s="223">
        <f t="shared" si="5"/>
        <v>-122000</v>
      </c>
    </row>
    <row r="143" spans="1:5" ht="30">
      <c r="A143" s="224" t="s">
        <v>41</v>
      </c>
      <c r="B143" s="214">
        <f>SUM(B144,)</f>
        <v>15511200</v>
      </c>
      <c r="C143" s="214">
        <f>C144</f>
        <v>9673755.93</v>
      </c>
      <c r="D143" s="222">
        <f t="shared" si="6"/>
        <v>62.36626392542163</v>
      </c>
      <c r="E143" s="223">
        <f t="shared" si="5"/>
        <v>-5837444.07</v>
      </c>
    </row>
    <row r="144" spans="1:5" ht="15">
      <c r="A144" s="224" t="s">
        <v>42</v>
      </c>
      <c r="B144" s="225">
        <f>Лист1!B104+Лист2!B86+Лист3!B74+Лист4!B74+Лист5!B77+Лист6!B75+Лист7!B113+Лист8!B80+Лист9!B82+Лист10!B75</f>
        <v>15511200</v>
      </c>
      <c r="C144" s="225">
        <f>Лист1!C104+Лист2!C86+Лист3!C74+Лист4!C74+Лист5!C77+Лист6!C75+Лист7!C113+Лист8!C80+Лист9!C82+Лист10!C75</f>
        <v>9673755.93</v>
      </c>
      <c r="D144" s="222">
        <f t="shared" si="6"/>
        <v>62.36626392542163</v>
      </c>
      <c r="E144" s="223">
        <f t="shared" si="5"/>
        <v>-5837444.07</v>
      </c>
    </row>
    <row r="145" spans="1:5" ht="32.25" customHeight="1">
      <c r="A145" s="224" t="s">
        <v>151</v>
      </c>
      <c r="B145" s="225">
        <f>Лист1!B104+Лист2!B87+Лист3!B75+Лист4!B74+Лист5!B77+Лист6!B75+Лист7!B114+Лист8!B80+Лист9!B82+Лист10!B75</f>
        <v>12661900</v>
      </c>
      <c r="C145" s="225">
        <f>Лист1!C104+Лист2!C87+Лист3!C74+Лист4!C74+Лист5!C77+Лист6!C75+Лист7!C114+Лист8!C80+Лист9!C82+Лист10!C75</f>
        <v>8834350</v>
      </c>
      <c r="D145" s="222">
        <f t="shared" si="6"/>
        <v>69.7711243968125</v>
      </c>
      <c r="E145" s="223">
        <f t="shared" si="5"/>
        <v>-3827550</v>
      </c>
    </row>
    <row r="146" spans="1:5" ht="25.5" customHeight="1">
      <c r="A146" s="224" t="s">
        <v>274</v>
      </c>
      <c r="B146" s="225">
        <f>Лист3!B76</f>
        <v>400000</v>
      </c>
      <c r="C146" s="225">
        <f>Лист2!C88</f>
        <v>0</v>
      </c>
      <c r="D146" s="222">
        <f t="shared" si="6"/>
        <v>0</v>
      </c>
      <c r="E146" s="223">
        <f t="shared" si="5"/>
        <v>-400000</v>
      </c>
    </row>
    <row r="147" spans="1:5" ht="21.75" customHeight="1">
      <c r="A147" s="224" t="s">
        <v>250</v>
      </c>
      <c r="B147" s="225">
        <f>Лист7!B115</f>
        <v>1238800</v>
      </c>
      <c r="C147" s="225">
        <f>Лист7!C115</f>
        <v>165300</v>
      </c>
      <c r="D147" s="222">
        <f t="shared" si="6"/>
        <v>13.34355828220859</v>
      </c>
      <c r="E147" s="223">
        <f t="shared" si="5"/>
        <v>-1073500</v>
      </c>
    </row>
    <row r="148" spans="1:5" ht="25.5" customHeight="1">
      <c r="A148" s="224" t="s">
        <v>152</v>
      </c>
      <c r="B148" s="225">
        <f>Лист7!B116</f>
        <v>1157000</v>
      </c>
      <c r="C148" s="225">
        <f>Лист7!C116</f>
        <v>620605.93</v>
      </c>
      <c r="D148" s="222">
        <f t="shared" si="6"/>
        <v>53.63923336214348</v>
      </c>
      <c r="E148" s="223">
        <f t="shared" si="5"/>
        <v>-536394.07</v>
      </c>
    </row>
    <row r="149" spans="1:5" ht="33.75" customHeight="1">
      <c r="A149" s="224" t="s">
        <v>251</v>
      </c>
      <c r="B149" s="225">
        <f>Лист7!B117</f>
        <v>10700</v>
      </c>
      <c r="C149" s="225">
        <f>Лист7!C117</f>
        <v>10700</v>
      </c>
      <c r="D149" s="222">
        <f t="shared" si="6"/>
        <v>100</v>
      </c>
      <c r="E149" s="223">
        <f t="shared" si="5"/>
        <v>0</v>
      </c>
    </row>
    <row r="150" spans="1:5" ht="38.25" customHeight="1">
      <c r="A150" s="224" t="s">
        <v>232</v>
      </c>
      <c r="B150" s="225">
        <f>Лист7!B118</f>
        <v>42800</v>
      </c>
      <c r="C150" s="225">
        <f>Лист7!C118</f>
        <v>42800</v>
      </c>
      <c r="D150" s="222">
        <f>IF(B150=0,"   ",C150/B150*100)</f>
        <v>100</v>
      </c>
      <c r="E150" s="223">
        <f aca="true" t="shared" si="9" ref="E150:E155">C150-B150</f>
        <v>0</v>
      </c>
    </row>
    <row r="151" spans="1:5" ht="15">
      <c r="A151" s="224" t="s">
        <v>125</v>
      </c>
      <c r="B151" s="225">
        <f>SUM(B152,)</f>
        <v>134000</v>
      </c>
      <c r="C151" s="225">
        <f>SUM(C152,)</f>
        <v>43385</v>
      </c>
      <c r="D151" s="222">
        <f t="shared" si="6"/>
        <v>32.37686567164179</v>
      </c>
      <c r="E151" s="223">
        <f t="shared" si="9"/>
        <v>-90615</v>
      </c>
    </row>
    <row r="152" spans="1:5" ht="15">
      <c r="A152" s="224" t="s">
        <v>126</v>
      </c>
      <c r="B152" s="225">
        <f>Лист1!B106+Лист2!B90+Лист3!B78+Лист4!B76+Лист5!B79+Лист6!B77+Лист7!B120+Лист8!B82+Лист9!B84+Лист10!B77</f>
        <v>134000</v>
      </c>
      <c r="C152" s="225">
        <f>Лист1!C106+Лист2!C90+Лист3!C78+Лист4!C76+Лист5!C79+Лист6!C77+Лист7!C120+Лист8!C82+Лист9!C84+Лист10!C77</f>
        <v>43385</v>
      </c>
      <c r="D152" s="222">
        <f t="shared" si="6"/>
        <v>32.37686567164179</v>
      </c>
      <c r="E152" s="223">
        <f t="shared" si="9"/>
        <v>-90615</v>
      </c>
    </row>
    <row r="153" spans="1:5" ht="30">
      <c r="A153" s="224" t="s">
        <v>153</v>
      </c>
      <c r="B153" s="225">
        <f>SUM(B154,)</f>
        <v>50000</v>
      </c>
      <c r="C153" s="225">
        <f>SUM(C154,)</f>
        <v>0</v>
      </c>
      <c r="D153" s="222">
        <f>IF(B153=0,"   ",C153/B153*100)</f>
        <v>0</v>
      </c>
      <c r="E153" s="223">
        <f t="shared" si="9"/>
        <v>-50000</v>
      </c>
    </row>
    <row r="154" spans="1:5" ht="30">
      <c r="A154" s="224" t="s">
        <v>154</v>
      </c>
      <c r="B154" s="225">
        <f>Лист7!B121</f>
        <v>50000</v>
      </c>
      <c r="C154" s="225">
        <f>Лист7!C121</f>
        <v>0</v>
      </c>
      <c r="D154" s="222">
        <f>IF(B154=0,"   ",C154/B154*100)</f>
        <v>0</v>
      </c>
      <c r="E154" s="223">
        <f t="shared" si="9"/>
        <v>-50000</v>
      </c>
    </row>
    <row r="155" spans="1:6" ht="25.5" customHeight="1">
      <c r="A155" s="226" t="s">
        <v>15</v>
      </c>
      <c r="B155" s="227">
        <f>B64+B75+B77+B82+B110+B142+B143+B153+B151</f>
        <v>70957965.7</v>
      </c>
      <c r="C155" s="227">
        <f>C64+C75+C77+C82+C110+C142+C143+C153+C151</f>
        <v>30280144.98</v>
      </c>
      <c r="D155" s="228">
        <f t="shared" si="6"/>
        <v>42.67335552997682</v>
      </c>
      <c r="E155" s="229">
        <f t="shared" si="9"/>
        <v>-40677820.72</v>
      </c>
      <c r="F155" s="218"/>
    </row>
    <row r="156" spans="1:5" s="69" customFormat="1" ht="23.25" customHeight="1">
      <c r="A156" s="220"/>
      <c r="B156" s="220"/>
      <c r="C156" s="247"/>
      <c r="D156" s="247"/>
      <c r="E156" s="247"/>
    </row>
    <row r="157" spans="1:5" s="69" customFormat="1" ht="12" customHeight="1">
      <c r="A157" s="92"/>
      <c r="B157" s="92"/>
      <c r="C157" s="248"/>
      <c r="D157" s="248"/>
      <c r="E157" s="248"/>
    </row>
    <row r="158" spans="1:5" ht="12.75">
      <c r="A158" s="7"/>
      <c r="B158" s="7"/>
      <c r="C158" s="54"/>
      <c r="D158" s="7"/>
      <c r="E158" s="55"/>
    </row>
    <row r="159" spans="1:5" ht="12.75">
      <c r="A159" s="7"/>
      <c r="B159" s="7"/>
      <c r="C159" s="54"/>
      <c r="D159" s="7"/>
      <c r="E159" s="55"/>
    </row>
    <row r="160" spans="1:5" ht="12.75">
      <c r="A160" s="7"/>
      <c r="B160" s="7"/>
      <c r="C160" s="54"/>
      <c r="D160" s="7"/>
      <c r="E160" s="55"/>
    </row>
    <row r="161" spans="1:5" ht="12.75">
      <c r="A161" s="7"/>
      <c r="B161" s="7"/>
      <c r="C161" s="54"/>
      <c r="D161" s="7"/>
      <c r="E161" s="55"/>
    </row>
  </sheetData>
  <sheetProtection/>
  <mergeCells count="3">
    <mergeCell ref="A1:E1"/>
    <mergeCell ref="C156:E156"/>
    <mergeCell ref="C157:E157"/>
  </mergeCells>
  <printOptions/>
  <pageMargins left="0.7874015748031497" right="0.7874015748031497" top="0.4724409448818898" bottom="0.31496062992125984" header="0.5118110236220472" footer="0.35433070866141736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6"/>
  <sheetViews>
    <sheetView zoomScalePageLayoutView="0" workbookViewId="0" topLeftCell="A21">
      <selection activeCell="C35" sqref="C35"/>
    </sheetView>
  </sheetViews>
  <sheetFormatPr defaultColWidth="9.00390625" defaultRowHeight="12.75"/>
  <cols>
    <col min="1" max="1" width="112.125" style="0" customWidth="1"/>
    <col min="2" max="2" width="15.125" style="0" customWidth="1"/>
    <col min="3" max="3" width="16.875" style="0" customWidth="1"/>
    <col min="4" max="4" width="20.875" style="0" customWidth="1"/>
    <col min="5" max="5" width="16.00390625" style="0" customWidth="1"/>
  </cols>
  <sheetData>
    <row r="1" spans="1:5" ht="18">
      <c r="A1" s="246" t="s">
        <v>298</v>
      </c>
      <c r="B1" s="246"/>
      <c r="C1" s="246"/>
      <c r="D1" s="246"/>
      <c r="E1" s="246"/>
    </row>
    <row r="2" spans="1:5" ht="13.5" thickBot="1">
      <c r="A2" s="4"/>
      <c r="B2" s="4"/>
      <c r="C2" s="5"/>
      <c r="D2" s="4"/>
      <c r="E2" s="4" t="s">
        <v>0</v>
      </c>
    </row>
    <row r="3" spans="1:5" ht="60.75" customHeight="1">
      <c r="A3" s="34" t="s">
        <v>1</v>
      </c>
      <c r="B3" s="19" t="s">
        <v>255</v>
      </c>
      <c r="C3" s="32" t="s">
        <v>299</v>
      </c>
      <c r="D3" s="19" t="s">
        <v>258</v>
      </c>
      <c r="E3" s="36" t="s">
        <v>257</v>
      </c>
    </row>
    <row r="4" spans="1:5" ht="12.75">
      <c r="A4" s="13">
        <v>1</v>
      </c>
      <c r="B4" s="85">
        <v>2</v>
      </c>
      <c r="C4" s="33">
        <v>3</v>
      </c>
      <c r="D4" s="29">
        <v>4</v>
      </c>
      <c r="E4" s="14">
        <v>5</v>
      </c>
    </row>
    <row r="5" spans="1:5" ht="12.75">
      <c r="A5" s="22" t="s">
        <v>2</v>
      </c>
      <c r="B5" s="11"/>
      <c r="C5" s="12"/>
      <c r="D5" s="25"/>
      <c r="E5" s="15"/>
    </row>
    <row r="6" spans="1:5" ht="15.75" customHeight="1">
      <c r="A6" s="17" t="s">
        <v>45</v>
      </c>
      <c r="B6" s="24">
        <f>SUM(B7)</f>
        <v>15600</v>
      </c>
      <c r="C6" s="24">
        <f>SUM(C7)</f>
        <v>7331.45</v>
      </c>
      <c r="D6" s="26">
        <f aca="true" t="shared" si="0" ref="D6:D90">IF(B6=0,"   ",C6/B6*100)</f>
        <v>46.99647435897436</v>
      </c>
      <c r="E6" s="45">
        <f aca="true" t="shared" si="1" ref="E6:E90">C6-B6</f>
        <v>-8268.55</v>
      </c>
    </row>
    <row r="7" spans="1:5" ht="12.75" customHeight="1">
      <c r="A7" s="16" t="s">
        <v>44</v>
      </c>
      <c r="B7" s="25">
        <v>15600</v>
      </c>
      <c r="C7" s="27">
        <v>7331.45</v>
      </c>
      <c r="D7" s="26">
        <f t="shared" si="0"/>
        <v>46.99647435897436</v>
      </c>
      <c r="E7" s="45">
        <f t="shared" si="1"/>
        <v>-8268.55</v>
      </c>
    </row>
    <row r="8" spans="1:5" ht="12.75" customHeight="1">
      <c r="A8" s="74" t="s">
        <v>144</v>
      </c>
      <c r="B8" s="24">
        <f>SUM(B9)</f>
        <v>623400</v>
      </c>
      <c r="C8" s="24">
        <f>SUM(C9)</f>
        <v>363386.73</v>
      </c>
      <c r="D8" s="26">
        <f t="shared" si="0"/>
        <v>58.291102021174204</v>
      </c>
      <c r="E8" s="45">
        <f t="shared" si="1"/>
        <v>-260013.27000000002</v>
      </c>
    </row>
    <row r="9" spans="1:5" ht="12.75" customHeight="1">
      <c r="A9" s="43" t="s">
        <v>145</v>
      </c>
      <c r="B9" s="25">
        <v>623400</v>
      </c>
      <c r="C9" s="27">
        <v>363386.73</v>
      </c>
      <c r="D9" s="26">
        <f t="shared" si="0"/>
        <v>58.291102021174204</v>
      </c>
      <c r="E9" s="45">
        <f t="shared" si="1"/>
        <v>-260013.27000000002</v>
      </c>
    </row>
    <row r="10" spans="1:5" ht="16.5" customHeight="1">
      <c r="A10" s="16" t="s">
        <v>7</v>
      </c>
      <c r="B10" s="25">
        <f>SUM(B11:B11)</f>
        <v>44900</v>
      </c>
      <c r="C10" s="25">
        <f>SUM(C11:C11)</f>
        <v>18093.9</v>
      </c>
      <c r="D10" s="26">
        <f t="shared" si="0"/>
        <v>40.29821826280624</v>
      </c>
      <c r="E10" s="45">
        <f t="shared" si="1"/>
        <v>-26806.1</v>
      </c>
    </row>
    <row r="11" spans="1:5" ht="14.25" customHeight="1">
      <c r="A11" s="16" t="s">
        <v>26</v>
      </c>
      <c r="B11" s="25">
        <v>44900</v>
      </c>
      <c r="C11" s="27">
        <v>18093.9</v>
      </c>
      <c r="D11" s="26">
        <f t="shared" si="0"/>
        <v>40.29821826280624</v>
      </c>
      <c r="E11" s="45">
        <f t="shared" si="1"/>
        <v>-26806.1</v>
      </c>
    </row>
    <row r="12" spans="1:5" ht="14.25" customHeight="1">
      <c r="A12" s="16" t="s">
        <v>9</v>
      </c>
      <c r="B12" s="25">
        <f>SUM(B13:B14)</f>
        <v>182000</v>
      </c>
      <c r="C12" s="25">
        <f>SUM(C13:C14)</f>
        <v>37953.41</v>
      </c>
      <c r="D12" s="26">
        <f t="shared" si="0"/>
        <v>20.85352197802198</v>
      </c>
      <c r="E12" s="45">
        <f t="shared" si="1"/>
        <v>-144046.59</v>
      </c>
    </row>
    <row r="13" spans="1:5" ht="12.75" customHeight="1">
      <c r="A13" s="16" t="s">
        <v>27</v>
      </c>
      <c r="B13" s="25">
        <v>27000</v>
      </c>
      <c r="C13" s="27">
        <v>17164.31</v>
      </c>
      <c r="D13" s="26">
        <f t="shared" si="0"/>
        <v>63.57151851851852</v>
      </c>
      <c r="E13" s="45">
        <f t="shared" si="1"/>
        <v>-9835.689999999999</v>
      </c>
    </row>
    <row r="14" spans="1:5" ht="12.75">
      <c r="A14" s="43" t="s">
        <v>173</v>
      </c>
      <c r="B14" s="31">
        <f>SUM(B15:B16)</f>
        <v>155000</v>
      </c>
      <c r="C14" s="31">
        <f>SUM(C15:C16)</f>
        <v>20789.1</v>
      </c>
      <c r="D14" s="26">
        <f t="shared" si="0"/>
        <v>13.412322580645162</v>
      </c>
      <c r="E14" s="45">
        <f t="shared" si="1"/>
        <v>-134210.9</v>
      </c>
    </row>
    <row r="15" spans="1:5" ht="12.75">
      <c r="A15" s="43" t="s">
        <v>174</v>
      </c>
      <c r="B15" s="31">
        <v>5400</v>
      </c>
      <c r="C15" s="79">
        <v>2443.16</v>
      </c>
      <c r="D15" s="26">
        <f t="shared" si="0"/>
        <v>45.2437037037037</v>
      </c>
      <c r="E15" s="45">
        <f t="shared" si="1"/>
        <v>-2956.84</v>
      </c>
    </row>
    <row r="16" spans="1:5" ht="12.75">
      <c r="A16" s="43" t="s">
        <v>175</v>
      </c>
      <c r="B16" s="31">
        <v>149600</v>
      </c>
      <c r="C16" s="79">
        <v>18345.94</v>
      </c>
      <c r="D16" s="26">
        <f t="shared" si="0"/>
        <v>12.263328877005348</v>
      </c>
      <c r="E16" s="45">
        <f t="shared" si="1"/>
        <v>-131254.06</v>
      </c>
    </row>
    <row r="17" spans="1:5" ht="18" customHeight="1">
      <c r="A17" s="16" t="s">
        <v>88</v>
      </c>
      <c r="B17" s="25">
        <v>0</v>
      </c>
      <c r="C17" s="27">
        <v>0</v>
      </c>
      <c r="D17" s="26" t="str">
        <f t="shared" si="0"/>
        <v>   </v>
      </c>
      <c r="E17" s="45">
        <f t="shared" si="1"/>
        <v>0</v>
      </c>
    </row>
    <row r="18" spans="1:5" ht="16.5" customHeight="1">
      <c r="A18" s="16" t="s">
        <v>78</v>
      </c>
      <c r="B18" s="24">
        <f>B20+B19</f>
        <v>0</v>
      </c>
      <c r="C18" s="24">
        <f>C20+C19</f>
        <v>0</v>
      </c>
      <c r="D18" s="26" t="str">
        <f t="shared" si="0"/>
        <v>   </v>
      </c>
      <c r="E18" s="45">
        <f t="shared" si="1"/>
        <v>0</v>
      </c>
    </row>
    <row r="19" spans="1:5" ht="16.5" customHeight="1">
      <c r="A19" s="175" t="s">
        <v>227</v>
      </c>
      <c r="B19" s="24">
        <v>0</v>
      </c>
      <c r="C19" s="24">
        <v>0</v>
      </c>
      <c r="D19" s="26" t="str">
        <f>IF(B19=0,"   ",C19/B19*100)</f>
        <v>   </v>
      </c>
      <c r="E19" s="45">
        <f>C19-B19</f>
        <v>0</v>
      </c>
    </row>
    <row r="20" spans="1:5" ht="22.5" customHeight="1">
      <c r="A20" s="16" t="s">
        <v>79</v>
      </c>
      <c r="B20" s="25">
        <v>0</v>
      </c>
      <c r="C20" s="27">
        <v>0</v>
      </c>
      <c r="D20" s="26" t="str">
        <f t="shared" si="0"/>
        <v>   </v>
      </c>
      <c r="E20" s="45">
        <f t="shared" si="1"/>
        <v>0</v>
      </c>
    </row>
    <row r="21" spans="1:5" ht="29.25" customHeight="1">
      <c r="A21" s="16" t="s">
        <v>28</v>
      </c>
      <c r="B21" s="25">
        <f>SUM(B22:B23)</f>
        <v>120900</v>
      </c>
      <c r="C21" s="24">
        <f>SUM(C22:C23)</f>
        <v>25171</v>
      </c>
      <c r="D21" s="26">
        <f t="shared" si="0"/>
        <v>20.819685690653433</v>
      </c>
      <c r="E21" s="45">
        <f t="shared" si="1"/>
        <v>-95729</v>
      </c>
    </row>
    <row r="22" spans="1:5" ht="15.75" customHeight="1">
      <c r="A22" s="43" t="s">
        <v>163</v>
      </c>
      <c r="B22" s="25">
        <v>110000</v>
      </c>
      <c r="C22" s="27">
        <v>25171</v>
      </c>
      <c r="D22" s="26">
        <f t="shared" si="0"/>
        <v>22.882727272727273</v>
      </c>
      <c r="E22" s="45">
        <f t="shared" si="1"/>
        <v>-84829</v>
      </c>
    </row>
    <row r="23" spans="1:5" ht="15.75" customHeight="1">
      <c r="A23" s="16" t="s">
        <v>30</v>
      </c>
      <c r="B23" s="25">
        <v>10900</v>
      </c>
      <c r="C23" s="27">
        <v>0</v>
      </c>
      <c r="D23" s="26">
        <f t="shared" si="0"/>
        <v>0</v>
      </c>
      <c r="E23" s="45">
        <f t="shared" si="1"/>
        <v>-10900</v>
      </c>
    </row>
    <row r="24" spans="1:5" ht="18" customHeight="1">
      <c r="A24" s="16" t="s">
        <v>209</v>
      </c>
      <c r="B24" s="24">
        <f>SUM(B25)</f>
        <v>0</v>
      </c>
      <c r="C24" s="24">
        <f>SUM(C25)</f>
        <v>0</v>
      </c>
      <c r="D24" s="26" t="str">
        <f t="shared" si="0"/>
        <v>   </v>
      </c>
      <c r="E24" s="45">
        <f t="shared" si="1"/>
        <v>0</v>
      </c>
    </row>
    <row r="25" spans="1:5" ht="16.5" customHeight="1">
      <c r="A25" s="16" t="s">
        <v>210</v>
      </c>
      <c r="B25" s="25">
        <v>0</v>
      </c>
      <c r="C25" s="27">
        <v>0</v>
      </c>
      <c r="D25" s="26" t="str">
        <f t="shared" si="0"/>
        <v>   </v>
      </c>
      <c r="E25" s="45">
        <f t="shared" si="1"/>
        <v>0</v>
      </c>
    </row>
    <row r="26" spans="1:5" ht="17.25" customHeight="1">
      <c r="A26" s="16" t="s">
        <v>31</v>
      </c>
      <c r="B26" s="25">
        <v>0</v>
      </c>
      <c r="C26" s="27">
        <v>0</v>
      </c>
      <c r="D26" s="26" t="str">
        <f t="shared" si="0"/>
        <v>   </v>
      </c>
      <c r="E26" s="45">
        <f t="shared" si="1"/>
        <v>0</v>
      </c>
    </row>
    <row r="27" spans="1:5" ht="16.5" customHeight="1">
      <c r="A27" s="16" t="s">
        <v>32</v>
      </c>
      <c r="B27" s="25">
        <f>SUM(B28:B29)</f>
        <v>0</v>
      </c>
      <c r="C27" s="25">
        <f>SUM(C28:C29)</f>
        <v>0.35</v>
      </c>
      <c r="D27" s="26" t="str">
        <f t="shared" si="0"/>
        <v>   </v>
      </c>
      <c r="E27" s="45">
        <f t="shared" si="1"/>
        <v>0.35</v>
      </c>
    </row>
    <row r="28" spans="1:5" ht="15.75" customHeight="1">
      <c r="A28" s="16" t="s">
        <v>106</v>
      </c>
      <c r="B28" s="25">
        <v>0</v>
      </c>
      <c r="C28" s="25">
        <v>0.35</v>
      </c>
      <c r="D28" s="26" t="str">
        <f t="shared" si="0"/>
        <v>   </v>
      </c>
      <c r="E28" s="45">
        <f t="shared" si="1"/>
        <v>0.35</v>
      </c>
    </row>
    <row r="29" spans="1:5" s="9" customFormat="1" ht="15" customHeight="1">
      <c r="A29" s="16" t="s">
        <v>109</v>
      </c>
      <c r="B29" s="39">
        <v>0</v>
      </c>
      <c r="C29" s="40">
        <v>0</v>
      </c>
      <c r="D29" s="26" t="str">
        <f t="shared" si="0"/>
        <v>   </v>
      </c>
      <c r="E29" s="42">
        <f>C29-B29</f>
        <v>0</v>
      </c>
    </row>
    <row r="30" spans="1:5" ht="19.5" customHeight="1">
      <c r="A30" s="193" t="s">
        <v>10</v>
      </c>
      <c r="B30" s="46">
        <f>SUM(B6,B8,B10,B12,B17,B18,B21,B26,B27,B24)</f>
        <v>986800</v>
      </c>
      <c r="C30" s="46">
        <f>SUM(C6,C8,C10,C12,C17,C18,C21,C26,C27,C24)</f>
        <v>451936.83999999997</v>
      </c>
      <c r="D30" s="26">
        <f t="shared" si="0"/>
        <v>45.798220510741785</v>
      </c>
      <c r="E30" s="45">
        <f t="shared" si="1"/>
        <v>-534863.16</v>
      </c>
    </row>
    <row r="31" spans="1:5" ht="19.5" customHeight="1">
      <c r="A31" s="201" t="s">
        <v>147</v>
      </c>
      <c r="B31" s="215">
        <f>SUM(B32:B35,B38:B40,B43)</f>
        <v>2171600</v>
      </c>
      <c r="C31" s="215">
        <f>SUM(C32:C35,C38:C40,C43)</f>
        <v>1194093.25</v>
      </c>
      <c r="D31" s="158">
        <f t="shared" si="0"/>
        <v>54.98679545035918</v>
      </c>
      <c r="E31" s="159">
        <f t="shared" si="1"/>
        <v>-977506.75</v>
      </c>
    </row>
    <row r="32" spans="1:5" ht="18.75" customHeight="1">
      <c r="A32" s="17" t="s">
        <v>34</v>
      </c>
      <c r="B32" s="24">
        <v>1089300</v>
      </c>
      <c r="C32" s="24">
        <v>633900</v>
      </c>
      <c r="D32" s="26">
        <f t="shared" si="0"/>
        <v>58.193335169374826</v>
      </c>
      <c r="E32" s="45">
        <f t="shared" si="1"/>
        <v>-455400</v>
      </c>
    </row>
    <row r="33" spans="1:5" ht="15.75" customHeight="1">
      <c r="A33" s="43" t="s">
        <v>155</v>
      </c>
      <c r="B33" s="25">
        <v>0</v>
      </c>
      <c r="C33" s="27">
        <v>0</v>
      </c>
      <c r="D33" s="26" t="str">
        <f t="shared" si="0"/>
        <v>   </v>
      </c>
      <c r="E33" s="45">
        <f t="shared" si="1"/>
        <v>0</v>
      </c>
    </row>
    <row r="34" spans="1:5" ht="29.25" customHeight="1">
      <c r="A34" s="150" t="s">
        <v>51</v>
      </c>
      <c r="B34" s="151">
        <v>71300</v>
      </c>
      <c r="C34" s="151">
        <v>42000</v>
      </c>
      <c r="D34" s="152">
        <f t="shared" si="0"/>
        <v>58.90603085553997</v>
      </c>
      <c r="E34" s="153">
        <f t="shared" si="1"/>
        <v>-29300</v>
      </c>
    </row>
    <row r="35" spans="1:5" ht="24.75" customHeight="1">
      <c r="A35" s="124" t="s">
        <v>157</v>
      </c>
      <c r="B35" s="151">
        <f>SUM(B36:B37)</f>
        <v>4100</v>
      </c>
      <c r="C35" s="151">
        <f>SUM(C36:C37)</f>
        <v>100</v>
      </c>
      <c r="D35" s="152">
        <f t="shared" si="0"/>
        <v>2.4390243902439024</v>
      </c>
      <c r="E35" s="153">
        <f t="shared" si="1"/>
        <v>-4000</v>
      </c>
    </row>
    <row r="36" spans="1:5" ht="15.75" customHeight="1">
      <c r="A36" s="124" t="s">
        <v>178</v>
      </c>
      <c r="B36" s="151">
        <v>100</v>
      </c>
      <c r="C36" s="151">
        <v>100</v>
      </c>
      <c r="D36" s="152">
        <f>IF(B36=0,"   ",C36/B36*100)</f>
        <v>100</v>
      </c>
      <c r="E36" s="153">
        <f>C36-B36</f>
        <v>0</v>
      </c>
    </row>
    <row r="37" spans="1:5" ht="24.75" customHeight="1">
      <c r="A37" s="124" t="s">
        <v>179</v>
      </c>
      <c r="B37" s="151">
        <v>4000</v>
      </c>
      <c r="C37" s="151">
        <v>0</v>
      </c>
      <c r="D37" s="152">
        <f>IF(B37=0,"   ",C37/B37*100)</f>
        <v>0</v>
      </c>
      <c r="E37" s="153">
        <f>C37-B37</f>
        <v>-4000</v>
      </c>
    </row>
    <row r="38" spans="1:5" ht="26.25" customHeight="1">
      <c r="A38" s="16" t="s">
        <v>104</v>
      </c>
      <c r="B38" s="151">
        <v>0</v>
      </c>
      <c r="C38" s="151">
        <v>0</v>
      </c>
      <c r="D38" s="152" t="str">
        <f t="shared" si="0"/>
        <v>   </v>
      </c>
      <c r="E38" s="153">
        <f t="shared" si="1"/>
        <v>0</v>
      </c>
    </row>
    <row r="39" spans="1:5" ht="18" customHeight="1">
      <c r="A39" s="16" t="s">
        <v>189</v>
      </c>
      <c r="B39" s="151">
        <v>0</v>
      </c>
      <c r="C39" s="151">
        <v>0</v>
      </c>
      <c r="D39" s="152" t="str">
        <f t="shared" si="0"/>
        <v>   </v>
      </c>
      <c r="E39" s="153">
        <f t="shared" si="1"/>
        <v>0</v>
      </c>
    </row>
    <row r="40" spans="1:5" ht="16.5" customHeight="1">
      <c r="A40" s="16" t="s">
        <v>80</v>
      </c>
      <c r="B40" s="25">
        <f>B42+B41</f>
        <v>777100</v>
      </c>
      <c r="C40" s="25">
        <f>C42+C41</f>
        <v>490502</v>
      </c>
      <c r="D40" s="26">
        <f t="shared" si="0"/>
        <v>63.11954703384378</v>
      </c>
      <c r="E40" s="45">
        <f t="shared" si="1"/>
        <v>-286598</v>
      </c>
    </row>
    <row r="41" spans="1:5" ht="15" customHeight="1">
      <c r="A41" s="56" t="s">
        <v>235</v>
      </c>
      <c r="B41" s="25">
        <v>331100</v>
      </c>
      <c r="C41" s="25">
        <v>331095</v>
      </c>
      <c r="D41" s="26">
        <f t="shared" si="0"/>
        <v>99.99848988221082</v>
      </c>
      <c r="E41" s="45">
        <f t="shared" si="1"/>
        <v>-5</v>
      </c>
    </row>
    <row r="42" spans="1:5" s="7" customFormat="1" ht="16.5" customHeight="1">
      <c r="A42" s="56" t="s">
        <v>110</v>
      </c>
      <c r="B42" s="57">
        <v>446000</v>
      </c>
      <c r="C42" s="57">
        <v>159407</v>
      </c>
      <c r="D42" s="57">
        <f t="shared" si="0"/>
        <v>35.7414798206278</v>
      </c>
      <c r="E42" s="42">
        <f t="shared" si="1"/>
        <v>-286593</v>
      </c>
    </row>
    <row r="43" spans="1:5" s="7" customFormat="1" ht="19.5" customHeight="1">
      <c r="A43" s="16" t="s">
        <v>267</v>
      </c>
      <c r="B43" s="57">
        <v>229800</v>
      </c>
      <c r="C43" s="57">
        <v>27591.25</v>
      </c>
      <c r="D43" s="57">
        <f>IF(B43=0,"   ",C43/B43*100)</f>
        <v>12.006636205395997</v>
      </c>
      <c r="E43" s="42">
        <f>C43-B43</f>
        <v>-202208.75</v>
      </c>
    </row>
    <row r="44" spans="1:5" ht="21.75" customHeight="1">
      <c r="A44" s="193" t="s">
        <v>11</v>
      </c>
      <c r="B44" s="168">
        <f>B30+B31</f>
        <v>3158400</v>
      </c>
      <c r="C44" s="168">
        <f>C30+C31</f>
        <v>1646030.0899999999</v>
      </c>
      <c r="D44" s="158">
        <f t="shared" si="0"/>
        <v>52.11594763171226</v>
      </c>
      <c r="E44" s="159">
        <f t="shared" si="1"/>
        <v>-1512369.9100000001</v>
      </c>
    </row>
    <row r="45" spans="1:5" ht="12.75">
      <c r="A45" s="30"/>
      <c r="B45" s="24"/>
      <c r="C45" s="25"/>
      <c r="D45" s="26" t="str">
        <f t="shared" si="0"/>
        <v>   </v>
      </c>
      <c r="E45" s="45"/>
    </row>
    <row r="46" spans="1:5" ht="13.5" thickBot="1">
      <c r="A46" s="121" t="s">
        <v>12</v>
      </c>
      <c r="B46" s="122"/>
      <c r="C46" s="123"/>
      <c r="D46" s="128" t="str">
        <f t="shared" si="0"/>
        <v>   </v>
      </c>
      <c r="E46" s="129"/>
    </row>
    <row r="47" spans="1:5" ht="13.5" thickBot="1">
      <c r="A47" s="145" t="s">
        <v>35</v>
      </c>
      <c r="B47" s="146">
        <f>SUM(B48,B50+B51)</f>
        <v>1066400</v>
      </c>
      <c r="C47" s="146">
        <f>SUM(C48,C50+C51)</f>
        <v>524572.36</v>
      </c>
      <c r="D47" s="147">
        <f t="shared" si="0"/>
        <v>49.19095648912228</v>
      </c>
      <c r="E47" s="148">
        <f t="shared" si="1"/>
        <v>-541827.64</v>
      </c>
    </row>
    <row r="48" spans="1:5" ht="13.5" thickBot="1">
      <c r="A48" s="133" t="s">
        <v>36</v>
      </c>
      <c r="B48" s="134">
        <v>1042700</v>
      </c>
      <c r="C48" s="146">
        <v>524572.36</v>
      </c>
      <c r="D48" s="135">
        <f t="shared" si="0"/>
        <v>50.30903999232761</v>
      </c>
      <c r="E48" s="136">
        <f t="shared" si="1"/>
        <v>-518127.64</v>
      </c>
    </row>
    <row r="49" spans="1:5" ht="12.75">
      <c r="A49" s="97" t="s">
        <v>121</v>
      </c>
      <c r="B49" s="25">
        <v>722000</v>
      </c>
      <c r="C49" s="28">
        <v>360744</v>
      </c>
      <c r="D49" s="26">
        <f t="shared" si="0"/>
        <v>49.96454293628808</v>
      </c>
      <c r="E49" s="45">
        <f t="shared" si="1"/>
        <v>-361256</v>
      </c>
    </row>
    <row r="50" spans="1:5" ht="12.75">
      <c r="A50" s="16" t="s">
        <v>96</v>
      </c>
      <c r="B50" s="25">
        <v>500</v>
      </c>
      <c r="C50" s="28">
        <v>0</v>
      </c>
      <c r="D50" s="26">
        <f t="shared" si="0"/>
        <v>0</v>
      </c>
      <c r="E50" s="45">
        <f t="shared" si="1"/>
        <v>-500</v>
      </c>
    </row>
    <row r="51" spans="1:5" ht="12.75">
      <c r="A51" s="120" t="s">
        <v>53</v>
      </c>
      <c r="B51" s="31">
        <f>SUM(B52)</f>
        <v>23200</v>
      </c>
      <c r="C51" s="31">
        <f>SUM(C52)</f>
        <v>0</v>
      </c>
      <c r="D51" s="128">
        <f t="shared" si="0"/>
        <v>0</v>
      </c>
      <c r="E51" s="129">
        <f t="shared" si="1"/>
        <v>-23200</v>
      </c>
    </row>
    <row r="52" spans="1:5" ht="29.25" customHeight="1" thickBot="1">
      <c r="A52" s="120" t="s">
        <v>261</v>
      </c>
      <c r="B52" s="138">
        <v>23200</v>
      </c>
      <c r="C52" s="139">
        <v>0</v>
      </c>
      <c r="D52" s="128">
        <f t="shared" si="0"/>
        <v>0</v>
      </c>
      <c r="E52" s="129">
        <f t="shared" si="1"/>
        <v>-23200</v>
      </c>
    </row>
    <row r="53" spans="1:5" ht="13.5" thickBot="1">
      <c r="A53" s="145" t="s">
        <v>49</v>
      </c>
      <c r="B53" s="206">
        <f>SUM(B54)</f>
        <v>71300</v>
      </c>
      <c r="C53" s="206">
        <f>SUM(C54)</f>
        <v>37316.43</v>
      </c>
      <c r="D53" s="147">
        <f t="shared" si="0"/>
        <v>52.33720897615708</v>
      </c>
      <c r="E53" s="148">
        <f t="shared" si="1"/>
        <v>-33983.57</v>
      </c>
    </row>
    <row r="54" spans="1:5" ht="16.5" customHeight="1" thickBot="1">
      <c r="A54" s="137" t="s">
        <v>108</v>
      </c>
      <c r="B54" s="138">
        <v>71300</v>
      </c>
      <c r="C54" s="139">
        <v>37316.43</v>
      </c>
      <c r="D54" s="140">
        <f t="shared" si="0"/>
        <v>52.33720897615708</v>
      </c>
      <c r="E54" s="141">
        <f t="shared" si="1"/>
        <v>-33983.57</v>
      </c>
    </row>
    <row r="55" spans="1:5" ht="13.5" thickBot="1">
      <c r="A55" s="145" t="s">
        <v>37</v>
      </c>
      <c r="B55" s="146">
        <f>SUM(B56)</f>
        <v>400</v>
      </c>
      <c r="C55" s="206">
        <f>SUM(C56)</f>
        <v>0</v>
      </c>
      <c r="D55" s="147">
        <f t="shared" si="0"/>
        <v>0</v>
      </c>
      <c r="E55" s="148">
        <f t="shared" si="1"/>
        <v>-400</v>
      </c>
    </row>
    <row r="56" spans="1:5" ht="13.5" thickBot="1">
      <c r="A56" s="87" t="s">
        <v>130</v>
      </c>
      <c r="B56" s="138">
        <v>400</v>
      </c>
      <c r="C56" s="139">
        <v>0</v>
      </c>
      <c r="D56" s="140">
        <f t="shared" si="0"/>
        <v>0</v>
      </c>
      <c r="E56" s="141">
        <f t="shared" si="1"/>
        <v>-400</v>
      </c>
    </row>
    <row r="57" spans="1:5" ht="13.5" thickBot="1">
      <c r="A57" s="145" t="s">
        <v>38</v>
      </c>
      <c r="B57" s="114">
        <f>B58+B61+B65</f>
        <v>650100</v>
      </c>
      <c r="C57" s="114">
        <f>C58+C61+C65</f>
        <v>215199</v>
      </c>
      <c r="D57" s="147">
        <f t="shared" si="0"/>
        <v>33.10244577757268</v>
      </c>
      <c r="E57" s="148">
        <f t="shared" si="1"/>
        <v>-434901</v>
      </c>
    </row>
    <row r="58" spans="1:5" ht="15.75" customHeight="1" thickBot="1">
      <c r="A58" s="87" t="s">
        <v>216</v>
      </c>
      <c r="B58" s="114">
        <f>SUM(B59+B60)</f>
        <v>4000</v>
      </c>
      <c r="C58" s="114">
        <f>SUM(C59+C60)</f>
        <v>0</v>
      </c>
      <c r="D58" s="147">
        <f>IF(B58=0,"   ",C58/B58*100)</f>
        <v>0</v>
      </c>
      <c r="E58" s="148">
        <f>C58-B58</f>
        <v>-4000</v>
      </c>
    </row>
    <row r="59" spans="1:5" ht="18" customHeight="1" thickBot="1">
      <c r="A59" s="87" t="s">
        <v>181</v>
      </c>
      <c r="B59" s="138">
        <v>4000</v>
      </c>
      <c r="C59" s="146">
        <v>0</v>
      </c>
      <c r="D59" s="147">
        <f>IF(B59=0,"   ",C59/B59*100)</f>
        <v>0</v>
      </c>
      <c r="E59" s="148">
        <f>C59-B59</f>
        <v>-4000</v>
      </c>
    </row>
    <row r="60" spans="1:5" ht="18" customHeight="1">
      <c r="A60" s="87" t="s">
        <v>238</v>
      </c>
      <c r="B60" s="138">
        <v>0</v>
      </c>
      <c r="C60" s="138">
        <v>0</v>
      </c>
      <c r="D60" s="140"/>
      <c r="E60" s="141"/>
    </row>
    <row r="61" spans="1:5" ht="12.75">
      <c r="A61" s="111" t="s">
        <v>134</v>
      </c>
      <c r="B61" s="134">
        <f>B63+B64+B62</f>
        <v>602100</v>
      </c>
      <c r="C61" s="134">
        <f>C63+C64+C62</f>
        <v>215199</v>
      </c>
      <c r="D61" s="135">
        <f t="shared" si="0"/>
        <v>35.74140508221226</v>
      </c>
      <c r="E61" s="136">
        <f t="shared" si="1"/>
        <v>-386901</v>
      </c>
    </row>
    <row r="62" spans="1:5" ht="19.5" customHeight="1">
      <c r="A62" s="87" t="s">
        <v>190</v>
      </c>
      <c r="B62" s="138">
        <v>0</v>
      </c>
      <c r="C62" s="138">
        <v>0</v>
      </c>
      <c r="D62" s="135" t="str">
        <f t="shared" si="0"/>
        <v>   </v>
      </c>
      <c r="E62" s="136">
        <f t="shared" si="1"/>
        <v>0</v>
      </c>
    </row>
    <row r="63" spans="1:5" ht="25.5">
      <c r="A63" s="82" t="s">
        <v>135</v>
      </c>
      <c r="B63" s="138">
        <v>446000</v>
      </c>
      <c r="C63" s="138">
        <v>159407</v>
      </c>
      <c r="D63" s="135">
        <f t="shared" si="0"/>
        <v>35.7414798206278</v>
      </c>
      <c r="E63" s="136">
        <f t="shared" si="1"/>
        <v>-286593</v>
      </c>
    </row>
    <row r="64" spans="1:5" ht="26.25" thickBot="1">
      <c r="A64" s="82" t="s">
        <v>136</v>
      </c>
      <c r="B64" s="130">
        <v>156100</v>
      </c>
      <c r="C64" s="130">
        <v>55792</v>
      </c>
      <c r="D64" s="128">
        <f t="shared" si="0"/>
        <v>35.74119154388213</v>
      </c>
      <c r="E64" s="129">
        <f t="shared" si="1"/>
        <v>-100308</v>
      </c>
    </row>
    <row r="65" spans="1:5" ht="13.5" thickBot="1">
      <c r="A65" s="111" t="s">
        <v>217</v>
      </c>
      <c r="B65" s="114">
        <f>SUM(B66)</f>
        <v>44000</v>
      </c>
      <c r="C65" s="114">
        <f>SUM(C66)</f>
        <v>0</v>
      </c>
      <c r="D65" s="128">
        <f>IF(B65=0,"   ",C65/B65*100)</f>
        <v>0</v>
      </c>
      <c r="E65" s="129">
        <f>C65-B65</f>
        <v>-44000</v>
      </c>
    </row>
    <row r="66" spans="1:5" ht="26.25" thickBot="1">
      <c r="A66" s="87" t="s">
        <v>218</v>
      </c>
      <c r="B66" s="138">
        <v>44000</v>
      </c>
      <c r="C66" s="138">
        <v>0</v>
      </c>
      <c r="D66" s="128">
        <f>IF(B66=0,"   ",C66/B66*100)</f>
        <v>0</v>
      </c>
      <c r="E66" s="129">
        <f>C66-B66</f>
        <v>-44000</v>
      </c>
    </row>
    <row r="67" spans="1:5" ht="13.5" customHeight="1" thickBot="1">
      <c r="A67" s="145" t="s">
        <v>13</v>
      </c>
      <c r="B67" s="146">
        <f>SUM(B75,B74,B68)</f>
        <v>766600</v>
      </c>
      <c r="C67" s="146">
        <f>SUM(C75,C74,C68)</f>
        <v>31723.059999999998</v>
      </c>
      <c r="D67" s="147">
        <f t="shared" si="0"/>
        <v>4.138150273936864</v>
      </c>
      <c r="E67" s="148">
        <f t="shared" si="1"/>
        <v>-734876.94</v>
      </c>
    </row>
    <row r="68" spans="1:5" ht="13.5" customHeight="1" thickBot="1">
      <c r="A68" s="43" t="s">
        <v>159</v>
      </c>
      <c r="B68" s="134">
        <f>SUM(B69+B70)</f>
        <v>674900</v>
      </c>
      <c r="C68" s="134">
        <f>SUM(C69+C70)</f>
        <v>0</v>
      </c>
      <c r="D68" s="147">
        <f t="shared" si="0"/>
        <v>0</v>
      </c>
      <c r="E68" s="148">
        <f t="shared" si="1"/>
        <v>-674900</v>
      </c>
    </row>
    <row r="69" spans="1:5" ht="30.75" customHeight="1" thickBot="1">
      <c r="A69" s="16" t="s">
        <v>262</v>
      </c>
      <c r="B69" s="134">
        <v>35000</v>
      </c>
      <c r="C69" s="134">
        <v>0</v>
      </c>
      <c r="D69" s="147">
        <f t="shared" si="0"/>
        <v>0</v>
      </c>
      <c r="E69" s="141">
        <f t="shared" si="1"/>
        <v>-35000</v>
      </c>
    </row>
    <row r="70" spans="1:5" ht="19.5" customHeight="1" thickBot="1">
      <c r="A70" s="120" t="s">
        <v>277</v>
      </c>
      <c r="B70" s="134">
        <f>SUM(B71+B72+B73)</f>
        <v>639900</v>
      </c>
      <c r="C70" s="134">
        <f>SUM(C71+C72+C73)</f>
        <v>0</v>
      </c>
      <c r="D70" s="147">
        <f>IF(B70=0,"   ",C70/B70*100)</f>
        <v>0</v>
      </c>
      <c r="E70" s="141">
        <f>C70-B70</f>
        <v>-639900</v>
      </c>
    </row>
    <row r="71" spans="1:5" ht="30.75" customHeight="1" thickBot="1">
      <c r="A71" s="120" t="s">
        <v>290</v>
      </c>
      <c r="B71" s="134">
        <v>331100</v>
      </c>
      <c r="C71" s="134">
        <v>0</v>
      </c>
      <c r="D71" s="147">
        <f>IF(B71=0,"   ",C71/B71*100)</f>
        <v>0</v>
      </c>
      <c r="E71" s="141">
        <f>C71-B71</f>
        <v>-331100</v>
      </c>
    </row>
    <row r="72" spans="1:5" ht="30.75" customHeight="1" thickBot="1">
      <c r="A72" s="120" t="s">
        <v>278</v>
      </c>
      <c r="B72" s="134">
        <v>270200</v>
      </c>
      <c r="C72" s="134">
        <v>0</v>
      </c>
      <c r="D72" s="147">
        <f>IF(B72=0,"   ",C72/B72*100)</f>
        <v>0</v>
      </c>
      <c r="E72" s="141">
        <f>C72-B72</f>
        <v>-270200</v>
      </c>
    </row>
    <row r="73" spans="1:5" ht="30.75" customHeight="1" thickBot="1">
      <c r="A73" s="120" t="s">
        <v>291</v>
      </c>
      <c r="B73" s="134">
        <v>38600</v>
      </c>
      <c r="C73" s="134">
        <v>0</v>
      </c>
      <c r="D73" s="147">
        <f>IF(B73=0,"   ",C73/B73*100)</f>
        <v>0</v>
      </c>
      <c r="E73" s="141">
        <f>C73-B73</f>
        <v>-38600</v>
      </c>
    </row>
    <row r="74" spans="1:5" ht="13.5" customHeight="1" thickBot="1">
      <c r="A74" s="133" t="s">
        <v>85</v>
      </c>
      <c r="B74" s="134">
        <v>0</v>
      </c>
      <c r="C74" s="134">
        <v>0</v>
      </c>
      <c r="D74" s="147" t="str">
        <f t="shared" si="0"/>
        <v>   </v>
      </c>
      <c r="E74" s="136">
        <f t="shared" si="1"/>
        <v>0</v>
      </c>
    </row>
    <row r="75" spans="1:5" ht="12.75">
      <c r="A75" s="16" t="s">
        <v>58</v>
      </c>
      <c r="B75" s="25">
        <f>B76+B82+B77+B78+B79+B80+B81+B83</f>
        <v>91700</v>
      </c>
      <c r="C75" s="25">
        <f>C76+C82+C77+C78+C79+C80+C81+C83</f>
        <v>31723.059999999998</v>
      </c>
      <c r="D75" s="26">
        <f t="shared" si="0"/>
        <v>34.594394765539796</v>
      </c>
      <c r="E75" s="45">
        <f t="shared" si="1"/>
        <v>-59976.94</v>
      </c>
    </row>
    <row r="76" spans="1:5" ht="12.75">
      <c r="A76" s="16" t="s">
        <v>56</v>
      </c>
      <c r="B76" s="25">
        <v>82000</v>
      </c>
      <c r="C76" s="27">
        <v>31444.78</v>
      </c>
      <c r="D76" s="26">
        <f t="shared" si="0"/>
        <v>38.34729268292683</v>
      </c>
      <c r="E76" s="45">
        <f t="shared" si="1"/>
        <v>-50555.22</v>
      </c>
    </row>
    <row r="77" spans="1:5" ht="25.5">
      <c r="A77" s="120" t="s">
        <v>182</v>
      </c>
      <c r="B77" s="130">
        <v>3000</v>
      </c>
      <c r="C77" s="131">
        <v>0</v>
      </c>
      <c r="D77" s="128">
        <f t="shared" si="0"/>
        <v>0</v>
      </c>
      <c r="E77" s="129">
        <f t="shared" si="1"/>
        <v>-3000</v>
      </c>
    </row>
    <row r="78" spans="1:5" ht="25.5">
      <c r="A78" s="120" t="s">
        <v>234</v>
      </c>
      <c r="B78" s="130">
        <v>0</v>
      </c>
      <c r="C78" s="131">
        <v>0</v>
      </c>
      <c r="D78" s="128" t="str">
        <f t="shared" si="0"/>
        <v>   </v>
      </c>
      <c r="E78" s="129">
        <f t="shared" si="1"/>
        <v>0</v>
      </c>
    </row>
    <row r="79" spans="1:5" ht="15" customHeight="1">
      <c r="A79" s="120" t="s">
        <v>239</v>
      </c>
      <c r="B79" s="130">
        <v>0</v>
      </c>
      <c r="C79" s="131">
        <v>0</v>
      </c>
      <c r="D79" s="128" t="str">
        <f t="shared" si="0"/>
        <v>   </v>
      </c>
      <c r="E79" s="129">
        <f t="shared" si="1"/>
        <v>0</v>
      </c>
    </row>
    <row r="80" spans="1:5" ht="25.5">
      <c r="A80" s="120" t="s">
        <v>240</v>
      </c>
      <c r="B80" s="130">
        <v>0</v>
      </c>
      <c r="C80" s="131">
        <v>0</v>
      </c>
      <c r="D80" s="128" t="str">
        <f t="shared" si="0"/>
        <v>   </v>
      </c>
      <c r="E80" s="129">
        <f t="shared" si="1"/>
        <v>0</v>
      </c>
    </row>
    <row r="81" spans="1:5" ht="16.5" customHeight="1">
      <c r="A81" s="120" t="s">
        <v>241</v>
      </c>
      <c r="B81" s="130">
        <v>0</v>
      </c>
      <c r="C81" s="131">
        <v>0</v>
      </c>
      <c r="D81" s="128" t="str">
        <f t="shared" si="0"/>
        <v>   </v>
      </c>
      <c r="E81" s="129">
        <f t="shared" si="1"/>
        <v>0</v>
      </c>
    </row>
    <row r="82" spans="1:5" ht="12.75">
      <c r="A82" s="120" t="s">
        <v>59</v>
      </c>
      <c r="B82" s="130">
        <v>6700</v>
      </c>
      <c r="C82" s="131">
        <v>278.28</v>
      </c>
      <c r="D82" s="128">
        <f t="shared" si="0"/>
        <v>4.153432835820895</v>
      </c>
      <c r="E82" s="129">
        <f t="shared" si="1"/>
        <v>-6421.72</v>
      </c>
    </row>
    <row r="83" spans="1:5" ht="13.5" thickBot="1">
      <c r="A83" s="16" t="s">
        <v>95</v>
      </c>
      <c r="B83" s="138">
        <v>0</v>
      </c>
      <c r="C83" s="139">
        <v>0</v>
      </c>
      <c r="D83" s="140" t="str">
        <f t="shared" si="0"/>
        <v>   </v>
      </c>
      <c r="E83" s="141">
        <f t="shared" si="1"/>
        <v>0</v>
      </c>
    </row>
    <row r="84" spans="1:5" ht="15.75" thickBot="1">
      <c r="A84" s="149" t="s">
        <v>17</v>
      </c>
      <c r="B84" s="114">
        <v>8000</v>
      </c>
      <c r="C84" s="114">
        <v>0</v>
      </c>
      <c r="D84" s="147">
        <f t="shared" si="0"/>
        <v>0</v>
      </c>
      <c r="E84" s="148">
        <f t="shared" si="1"/>
        <v>-8000</v>
      </c>
    </row>
    <row r="85" spans="1:5" ht="13.5" thickBot="1">
      <c r="A85" s="145" t="s">
        <v>41</v>
      </c>
      <c r="B85" s="207">
        <f>B86</f>
        <v>666600</v>
      </c>
      <c r="C85" s="207">
        <f>C86</f>
        <v>444600</v>
      </c>
      <c r="D85" s="147">
        <f t="shared" si="0"/>
        <v>66.6966696669667</v>
      </c>
      <c r="E85" s="148">
        <f t="shared" si="1"/>
        <v>-222000</v>
      </c>
    </row>
    <row r="86" spans="1:5" ht="12.75">
      <c r="A86" s="133" t="s">
        <v>42</v>
      </c>
      <c r="B86" s="134">
        <f>SUM(B87+B88)</f>
        <v>666600</v>
      </c>
      <c r="C86" s="134">
        <f>SUM(C87+C88)</f>
        <v>444600</v>
      </c>
      <c r="D86" s="135">
        <f t="shared" si="0"/>
        <v>66.6966696669667</v>
      </c>
      <c r="E86" s="136">
        <f t="shared" si="1"/>
        <v>-222000</v>
      </c>
    </row>
    <row r="87" spans="1:5" ht="12.75">
      <c r="A87" s="189" t="s">
        <v>151</v>
      </c>
      <c r="B87" s="138">
        <v>666600</v>
      </c>
      <c r="C87" s="139">
        <v>444600</v>
      </c>
      <c r="D87" s="140">
        <f t="shared" si="0"/>
        <v>66.6966696669667</v>
      </c>
      <c r="E87" s="141">
        <f t="shared" si="1"/>
        <v>-222000</v>
      </c>
    </row>
    <row r="88" spans="1:5" ht="13.5" thickBot="1">
      <c r="A88" s="16" t="s">
        <v>242</v>
      </c>
      <c r="B88" s="138">
        <v>0</v>
      </c>
      <c r="C88" s="139">
        <v>0</v>
      </c>
      <c r="D88" s="140" t="str">
        <f t="shared" si="0"/>
        <v>   </v>
      </c>
      <c r="E88" s="141">
        <f t="shared" si="1"/>
        <v>0</v>
      </c>
    </row>
    <row r="89" spans="1:5" ht="13.5" thickBot="1">
      <c r="A89" s="145" t="s">
        <v>125</v>
      </c>
      <c r="B89" s="146">
        <f>SUM(B90,)</f>
        <v>8000</v>
      </c>
      <c r="C89" s="146">
        <f>SUM(C90,)</f>
        <v>0</v>
      </c>
      <c r="D89" s="147">
        <f t="shared" si="0"/>
        <v>0</v>
      </c>
      <c r="E89" s="148">
        <f t="shared" si="1"/>
        <v>-8000</v>
      </c>
    </row>
    <row r="90" spans="1:5" ht="12.75">
      <c r="A90" s="143" t="s">
        <v>43</v>
      </c>
      <c r="B90" s="138">
        <v>8000</v>
      </c>
      <c r="C90" s="144">
        <v>0</v>
      </c>
      <c r="D90" s="140">
        <f t="shared" si="0"/>
        <v>0</v>
      </c>
      <c r="E90" s="141">
        <f t="shared" si="1"/>
        <v>-8000</v>
      </c>
    </row>
    <row r="91" spans="1:5" ht="21" customHeight="1">
      <c r="A91" s="193" t="s">
        <v>15</v>
      </c>
      <c r="B91" s="24">
        <f>SUM(B47,B53,B55,B57,B67,B84,B85,B89,)</f>
        <v>3237400</v>
      </c>
      <c r="C91" s="24">
        <f>SUM(C47,C53,C55,C57,C67,C84,C85,C89,)</f>
        <v>1253410.85</v>
      </c>
      <c r="D91" s="26">
        <f>IF(B91=0,"   ",C91/B91*100)</f>
        <v>38.71658892938778</v>
      </c>
      <c r="E91" s="45">
        <f>C91-B91</f>
        <v>-1983989.15</v>
      </c>
    </row>
    <row r="92" spans="1:5" s="69" customFormat="1" ht="23.25" customHeight="1">
      <c r="A92" s="92" t="s">
        <v>176</v>
      </c>
      <c r="B92" s="92"/>
      <c r="C92" s="244"/>
      <c r="D92" s="244"/>
      <c r="E92" s="244"/>
    </row>
    <row r="93" spans="1:5" s="69" customFormat="1" ht="12" customHeight="1">
      <c r="A93" s="92" t="s">
        <v>165</v>
      </c>
      <c r="B93" s="92"/>
      <c r="C93" s="93" t="s">
        <v>177</v>
      </c>
      <c r="D93" s="94"/>
      <c r="E93" s="95"/>
    </row>
    <row r="94" spans="1:5" ht="12.75">
      <c r="A94" s="7"/>
      <c r="B94" s="7"/>
      <c r="C94" s="6"/>
      <c r="D94" s="7"/>
      <c r="E94" s="2"/>
    </row>
    <row r="95" spans="1:5" ht="12.75">
      <c r="A95" s="7"/>
      <c r="B95" s="7"/>
      <c r="C95" s="6"/>
      <c r="D95" s="7"/>
      <c r="E95" s="2"/>
    </row>
    <row r="96" spans="1:5" ht="12.75">
      <c r="A96" s="7"/>
      <c r="B96" s="7"/>
      <c r="C96" s="6"/>
      <c r="D96" s="7"/>
      <c r="E96" s="2"/>
    </row>
    <row r="97" spans="1:5" ht="12.75">
      <c r="A97" s="7"/>
      <c r="B97" s="7"/>
      <c r="C97" s="6"/>
      <c r="D97" s="7"/>
      <c r="E97" s="2"/>
    </row>
    <row r="98" spans="1:5" ht="12.75">
      <c r="A98" s="4"/>
      <c r="B98" s="4"/>
      <c r="C98" s="4"/>
      <c r="D98" s="4"/>
      <c r="E98" s="4"/>
    </row>
    <row r="99" spans="1:5" ht="12.75">
      <c r="A99" s="4"/>
      <c r="B99" s="4"/>
      <c r="C99" s="4"/>
      <c r="D99" s="4"/>
      <c r="E99" s="4"/>
    </row>
    <row r="100" spans="1:5" ht="12.75">
      <c r="A100" s="4"/>
      <c r="B100" s="4"/>
      <c r="C100" s="4"/>
      <c r="D100" s="4"/>
      <c r="E100" s="4"/>
    </row>
    <row r="101" spans="1:5" ht="12.75">
      <c r="A101" s="4"/>
      <c r="B101" s="4"/>
      <c r="C101" s="4"/>
      <c r="D101" s="4"/>
      <c r="E101" s="4"/>
    </row>
    <row r="102" spans="1:5" ht="12.75">
      <c r="A102" s="4"/>
      <c r="B102" s="4"/>
      <c r="C102" s="4"/>
      <c r="D102" s="4"/>
      <c r="E102" s="4"/>
    </row>
    <row r="103" spans="1:5" ht="12.75">
      <c r="A103" s="4"/>
      <c r="B103" s="4"/>
      <c r="C103" s="4"/>
      <c r="D103" s="4"/>
      <c r="E103" s="4"/>
    </row>
    <row r="104" spans="1:5" ht="12.75">
      <c r="A104" s="4"/>
      <c r="B104" s="4"/>
      <c r="C104" s="4"/>
      <c r="D104" s="4"/>
      <c r="E104" s="4"/>
    </row>
    <row r="105" spans="1:5" ht="12.75">
      <c r="A105" s="4"/>
      <c r="B105" s="4"/>
      <c r="C105" s="4"/>
      <c r="D105" s="4"/>
      <c r="E105" s="4"/>
    </row>
    <row r="106" spans="1:5" ht="12.75">
      <c r="A106" s="4"/>
      <c r="B106" s="4"/>
      <c r="C106" s="4"/>
      <c r="D106" s="4"/>
      <c r="E106" s="4"/>
    </row>
    <row r="107" spans="1:5" ht="12.75">
      <c r="A107" s="4"/>
      <c r="B107" s="4"/>
      <c r="C107" s="4"/>
      <c r="D107" s="4"/>
      <c r="E107" s="4"/>
    </row>
    <row r="108" spans="1:5" ht="12.75">
      <c r="A108" s="4"/>
      <c r="B108" s="4"/>
      <c r="C108" s="4"/>
      <c r="D108" s="4"/>
      <c r="E108" s="4"/>
    </row>
    <row r="109" spans="1:5" ht="12.75">
      <c r="A109" s="4"/>
      <c r="B109" s="4"/>
      <c r="C109" s="4"/>
      <c r="D109" s="4"/>
      <c r="E109" s="4"/>
    </row>
    <row r="110" spans="1:5" ht="12.75">
      <c r="A110" s="4"/>
      <c r="B110" s="4"/>
      <c r="C110" s="4"/>
      <c r="D110" s="4"/>
      <c r="E110" s="4"/>
    </row>
    <row r="111" spans="1:5" ht="12.75">
      <c r="A111" s="4"/>
      <c r="B111" s="4"/>
      <c r="C111" s="4"/>
      <c r="D111" s="4"/>
      <c r="E111" s="4"/>
    </row>
    <row r="112" spans="1:5" ht="12.75">
      <c r="A112" s="4"/>
      <c r="B112" s="4"/>
      <c r="C112" s="4"/>
      <c r="D112" s="4"/>
      <c r="E112" s="4"/>
    </row>
    <row r="113" spans="1:5" ht="12.75">
      <c r="A113" s="4"/>
      <c r="B113" s="4"/>
      <c r="C113" s="4"/>
      <c r="D113" s="4"/>
      <c r="E113" s="4"/>
    </row>
    <row r="114" spans="1:5" ht="12.75">
      <c r="A114" s="4"/>
      <c r="B114" s="4"/>
      <c r="C114" s="4"/>
      <c r="D114" s="4"/>
      <c r="E114" s="4"/>
    </row>
    <row r="115" spans="1:5" ht="12.75">
      <c r="A115" s="4"/>
      <c r="B115" s="4"/>
      <c r="C115" s="4"/>
      <c r="D115" s="4"/>
      <c r="E115" s="4"/>
    </row>
    <row r="116" spans="1:5" ht="12.75">
      <c r="A116" s="4"/>
      <c r="B116" s="4"/>
      <c r="C116" s="4"/>
      <c r="D116" s="4"/>
      <c r="E116" s="4"/>
    </row>
  </sheetData>
  <sheetProtection/>
  <mergeCells count="2">
    <mergeCell ref="A1:E1"/>
    <mergeCell ref="C92:E92"/>
  </mergeCells>
  <printOptions/>
  <pageMargins left="1.1811023622047245" right="0.7874015748031497" top="0.4724409448818898" bottom="0.5118110236220472" header="0.5118110236220472" footer="0.5118110236220472"/>
  <pageSetup fitToHeight="2" fitToWidth="2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0"/>
  <sheetViews>
    <sheetView view="pageBreakPreview" zoomScaleNormal="75" zoomScaleSheetLayoutView="100" zoomScalePageLayoutView="0" workbookViewId="0" topLeftCell="A14">
      <selection activeCell="C33" sqref="C33"/>
    </sheetView>
  </sheetViews>
  <sheetFormatPr defaultColWidth="9.00390625" defaultRowHeight="12.75"/>
  <cols>
    <col min="1" max="1" width="105.125" style="0" customWidth="1"/>
    <col min="2" max="2" width="15.25390625" style="0" customWidth="1"/>
    <col min="3" max="3" width="19.375" style="0" customWidth="1"/>
    <col min="4" max="4" width="14.625" style="0" customWidth="1"/>
    <col min="5" max="5" width="19.25390625" style="0" customWidth="1"/>
  </cols>
  <sheetData>
    <row r="1" spans="1:5" ht="18">
      <c r="A1" s="246" t="s">
        <v>300</v>
      </c>
      <c r="B1" s="246"/>
      <c r="C1" s="246"/>
      <c r="D1" s="246"/>
      <c r="E1" s="246"/>
    </row>
    <row r="2" spans="1:5" ht="13.5" thickBot="1">
      <c r="A2" s="4"/>
      <c r="B2" s="4"/>
      <c r="C2" s="5"/>
      <c r="D2" s="4"/>
      <c r="E2" s="4" t="s">
        <v>0</v>
      </c>
    </row>
    <row r="3" spans="1:5" ht="76.5" customHeight="1">
      <c r="A3" s="34" t="s">
        <v>1</v>
      </c>
      <c r="B3" s="19" t="s">
        <v>255</v>
      </c>
      <c r="C3" s="32" t="s">
        <v>301</v>
      </c>
      <c r="D3" s="19" t="s">
        <v>256</v>
      </c>
      <c r="E3" s="36" t="s">
        <v>259</v>
      </c>
    </row>
    <row r="4" spans="1:5" ht="12.75">
      <c r="A4" s="13">
        <v>1</v>
      </c>
      <c r="B4" s="85">
        <v>2</v>
      </c>
      <c r="C4" s="33">
        <v>3</v>
      </c>
      <c r="D4" s="29">
        <v>4</v>
      </c>
      <c r="E4" s="14">
        <v>5</v>
      </c>
    </row>
    <row r="5" spans="1:5" ht="12.75">
      <c r="A5" s="22" t="s">
        <v>2</v>
      </c>
      <c r="B5" s="11"/>
      <c r="C5" s="12"/>
      <c r="D5" s="25"/>
      <c r="E5" s="15"/>
    </row>
    <row r="6" spans="1:5" ht="15" customHeight="1">
      <c r="A6" s="17" t="s">
        <v>45</v>
      </c>
      <c r="B6" s="24">
        <f>SUM(B7)</f>
        <v>59700</v>
      </c>
      <c r="C6" s="24">
        <f>SUM(C7)</f>
        <v>18434.5</v>
      </c>
      <c r="D6" s="26">
        <f aca="true" t="shared" si="0" ref="D6:D78">IF(B6=0,"   ",C6/B6*100)</f>
        <v>30.878559463986598</v>
      </c>
      <c r="E6" s="45">
        <f aca="true" t="shared" si="1" ref="E6:E79">C6-B6</f>
        <v>-41265.5</v>
      </c>
    </row>
    <row r="7" spans="1:5" ht="15" customHeight="1">
      <c r="A7" s="16" t="s">
        <v>44</v>
      </c>
      <c r="B7" s="25">
        <v>59700</v>
      </c>
      <c r="C7" s="27">
        <v>18434.5</v>
      </c>
      <c r="D7" s="26">
        <f t="shared" si="0"/>
        <v>30.878559463986598</v>
      </c>
      <c r="E7" s="45">
        <f t="shared" si="1"/>
        <v>-41265.5</v>
      </c>
    </row>
    <row r="8" spans="1:5" ht="15.75" customHeight="1">
      <c r="A8" s="74" t="s">
        <v>144</v>
      </c>
      <c r="B8" s="24">
        <f>SUM(B9)</f>
        <v>292500</v>
      </c>
      <c r="C8" s="24">
        <f>SUM(C9)</f>
        <v>170493.01</v>
      </c>
      <c r="D8" s="26">
        <f t="shared" si="0"/>
        <v>58.288208547008544</v>
      </c>
      <c r="E8" s="45">
        <f t="shared" si="1"/>
        <v>-122006.98999999999</v>
      </c>
    </row>
    <row r="9" spans="1:5" ht="15" customHeight="1">
      <c r="A9" s="43" t="s">
        <v>145</v>
      </c>
      <c r="B9" s="25">
        <v>292500</v>
      </c>
      <c r="C9" s="27">
        <v>170493.01</v>
      </c>
      <c r="D9" s="26">
        <f t="shared" si="0"/>
        <v>58.288208547008544</v>
      </c>
      <c r="E9" s="45">
        <f t="shared" si="1"/>
        <v>-122006.98999999999</v>
      </c>
    </row>
    <row r="10" spans="1:5" ht="16.5" customHeight="1">
      <c r="A10" s="16" t="s">
        <v>7</v>
      </c>
      <c r="B10" s="25">
        <f>B11</f>
        <v>764900</v>
      </c>
      <c r="C10" s="25">
        <f>C11</f>
        <v>1430647.95</v>
      </c>
      <c r="D10" s="26">
        <f t="shared" si="0"/>
        <v>187.03725323571706</v>
      </c>
      <c r="E10" s="45">
        <f t="shared" si="1"/>
        <v>665747.95</v>
      </c>
    </row>
    <row r="11" spans="1:5" ht="15" customHeight="1">
      <c r="A11" s="16" t="s">
        <v>26</v>
      </c>
      <c r="B11" s="25">
        <v>764900</v>
      </c>
      <c r="C11" s="27">
        <v>1430647.95</v>
      </c>
      <c r="D11" s="26">
        <f t="shared" si="0"/>
        <v>187.03725323571706</v>
      </c>
      <c r="E11" s="45">
        <f t="shared" si="1"/>
        <v>665747.95</v>
      </c>
    </row>
    <row r="12" spans="1:5" ht="15" customHeight="1">
      <c r="A12" s="16" t="s">
        <v>9</v>
      </c>
      <c r="B12" s="25">
        <f>SUM(B13:B14)</f>
        <v>448600</v>
      </c>
      <c r="C12" s="25">
        <f>SUM(C13:C14)</f>
        <v>25372.45</v>
      </c>
      <c r="D12" s="26">
        <f t="shared" si="0"/>
        <v>5.655918412839947</v>
      </c>
      <c r="E12" s="45">
        <f t="shared" si="1"/>
        <v>-423227.55</v>
      </c>
    </row>
    <row r="13" spans="1:5" ht="12.75" customHeight="1">
      <c r="A13" s="16" t="s">
        <v>27</v>
      </c>
      <c r="B13" s="25">
        <v>45000</v>
      </c>
      <c r="C13" s="27">
        <v>4505.95</v>
      </c>
      <c r="D13" s="26">
        <f t="shared" si="0"/>
        <v>10.013222222222222</v>
      </c>
      <c r="E13" s="45">
        <f t="shared" si="1"/>
        <v>-40494.05</v>
      </c>
    </row>
    <row r="14" spans="1:5" ht="15" customHeight="1">
      <c r="A14" s="43" t="s">
        <v>173</v>
      </c>
      <c r="B14" s="31">
        <f>SUM(B15:B16)</f>
        <v>403600</v>
      </c>
      <c r="C14" s="31">
        <f>SUM(C15:C16)</f>
        <v>20866.5</v>
      </c>
      <c r="D14" s="26">
        <f t="shared" si="0"/>
        <v>5.170094152626363</v>
      </c>
      <c r="E14" s="45">
        <f t="shared" si="1"/>
        <v>-382733.5</v>
      </c>
    </row>
    <row r="15" spans="1:5" ht="15" customHeight="1">
      <c r="A15" s="43" t="s">
        <v>174</v>
      </c>
      <c r="B15" s="31">
        <v>3800</v>
      </c>
      <c r="C15" s="79">
        <v>3217.77</v>
      </c>
      <c r="D15" s="26">
        <f t="shared" si="0"/>
        <v>84.67815789473684</v>
      </c>
      <c r="E15" s="45">
        <f t="shared" si="1"/>
        <v>-582.23</v>
      </c>
    </row>
    <row r="16" spans="1:5" ht="15" customHeight="1">
      <c r="A16" s="43" t="s">
        <v>175</v>
      </c>
      <c r="B16" s="31">
        <v>399800</v>
      </c>
      <c r="C16" s="79">
        <v>17648.73</v>
      </c>
      <c r="D16" s="26">
        <f t="shared" si="0"/>
        <v>4.414389694847424</v>
      </c>
      <c r="E16" s="45">
        <f t="shared" si="1"/>
        <v>-382151.27</v>
      </c>
    </row>
    <row r="17" spans="1:5" ht="15" customHeight="1">
      <c r="A17" s="43" t="s">
        <v>264</v>
      </c>
      <c r="B17" s="31">
        <v>1000</v>
      </c>
      <c r="C17" s="79">
        <v>1000</v>
      </c>
      <c r="D17" s="26">
        <f t="shared" si="0"/>
        <v>100</v>
      </c>
      <c r="E17" s="45">
        <f t="shared" si="1"/>
        <v>0</v>
      </c>
    </row>
    <row r="18" spans="1:5" ht="27.75" customHeight="1">
      <c r="A18" s="16" t="s">
        <v>88</v>
      </c>
      <c r="B18" s="25">
        <v>0</v>
      </c>
      <c r="C18" s="25">
        <v>0</v>
      </c>
      <c r="D18" s="26" t="str">
        <f t="shared" si="0"/>
        <v>   </v>
      </c>
      <c r="E18" s="45">
        <f t="shared" si="1"/>
        <v>0</v>
      </c>
    </row>
    <row r="19" spans="1:5" ht="27.75" customHeight="1">
      <c r="A19" s="16" t="s">
        <v>28</v>
      </c>
      <c r="B19" s="25">
        <f>SUM(B20:B21)</f>
        <v>58800</v>
      </c>
      <c r="C19" s="25">
        <f>SUM(C20:C21)</f>
        <v>16282.26</v>
      </c>
      <c r="D19" s="26">
        <f t="shared" si="0"/>
        <v>27.69091836734694</v>
      </c>
      <c r="E19" s="45">
        <f t="shared" si="1"/>
        <v>-42517.74</v>
      </c>
    </row>
    <row r="20" spans="1:5" ht="12.75" customHeight="1">
      <c r="A20" s="43" t="s">
        <v>163</v>
      </c>
      <c r="B20" s="25">
        <v>25000</v>
      </c>
      <c r="C20" s="25">
        <v>16282.26</v>
      </c>
      <c r="D20" s="26">
        <f t="shared" si="0"/>
        <v>65.12904</v>
      </c>
      <c r="E20" s="45">
        <f t="shared" si="1"/>
        <v>-8717.74</v>
      </c>
    </row>
    <row r="21" spans="1:5" ht="15.75" customHeight="1">
      <c r="A21" s="16" t="s">
        <v>30</v>
      </c>
      <c r="B21" s="25">
        <v>33800</v>
      </c>
      <c r="C21" s="25">
        <v>0</v>
      </c>
      <c r="D21" s="26">
        <f t="shared" si="0"/>
        <v>0</v>
      </c>
      <c r="E21" s="45">
        <f t="shared" si="1"/>
        <v>-33800</v>
      </c>
    </row>
    <row r="22" spans="1:5" ht="15.75" customHeight="1">
      <c r="A22" s="41" t="s">
        <v>92</v>
      </c>
      <c r="B22" s="25">
        <v>0</v>
      </c>
      <c r="C22" s="27">
        <v>0</v>
      </c>
      <c r="D22" s="26" t="str">
        <f t="shared" si="0"/>
        <v>   </v>
      </c>
      <c r="E22" s="45">
        <f t="shared" si="1"/>
        <v>0</v>
      </c>
    </row>
    <row r="23" spans="1:5" ht="15.75" customHeight="1">
      <c r="A23" s="16" t="s">
        <v>78</v>
      </c>
      <c r="B23" s="24">
        <f>B24</f>
        <v>0</v>
      </c>
      <c r="C23" s="24">
        <f>C24</f>
        <v>0</v>
      </c>
      <c r="D23" s="26" t="str">
        <f t="shared" si="0"/>
        <v>   </v>
      </c>
      <c r="E23" s="45">
        <f t="shared" si="1"/>
        <v>0</v>
      </c>
    </row>
    <row r="24" spans="1:5" ht="27.75" customHeight="1">
      <c r="A24" s="16" t="s">
        <v>79</v>
      </c>
      <c r="B24" s="25">
        <v>0</v>
      </c>
      <c r="C24" s="27">
        <v>0</v>
      </c>
      <c r="D24" s="26" t="str">
        <f t="shared" si="0"/>
        <v>   </v>
      </c>
      <c r="E24" s="45">
        <f t="shared" si="1"/>
        <v>0</v>
      </c>
    </row>
    <row r="25" spans="1:5" ht="13.5" customHeight="1">
      <c r="A25" s="16" t="s">
        <v>32</v>
      </c>
      <c r="B25" s="25">
        <f>SUM(B26:B27)</f>
        <v>0</v>
      </c>
      <c r="C25" s="25">
        <f>SUM(C26:C27)</f>
        <v>0</v>
      </c>
      <c r="D25" s="26" t="str">
        <f t="shared" si="0"/>
        <v>   </v>
      </c>
      <c r="E25" s="45">
        <f t="shared" si="1"/>
        <v>0</v>
      </c>
    </row>
    <row r="26" spans="1:5" ht="13.5" customHeight="1">
      <c r="A26" s="16" t="s">
        <v>46</v>
      </c>
      <c r="B26" s="25">
        <v>0</v>
      </c>
      <c r="C26" s="25">
        <v>0</v>
      </c>
      <c r="D26" s="26"/>
      <c r="E26" s="45">
        <f t="shared" si="1"/>
        <v>0</v>
      </c>
    </row>
    <row r="27" spans="1:5" ht="15" customHeight="1">
      <c r="A27" s="16" t="s">
        <v>50</v>
      </c>
      <c r="B27" s="25">
        <v>0</v>
      </c>
      <c r="C27" s="27">
        <v>0</v>
      </c>
      <c r="D27" s="26" t="str">
        <f t="shared" si="0"/>
        <v>   </v>
      </c>
      <c r="E27" s="45">
        <f t="shared" si="1"/>
        <v>0</v>
      </c>
    </row>
    <row r="28" spans="1:5" ht="13.5" customHeight="1">
      <c r="A28" s="16" t="s">
        <v>31</v>
      </c>
      <c r="B28" s="25">
        <v>0</v>
      </c>
      <c r="C28" s="25">
        <v>0</v>
      </c>
      <c r="D28" s="26" t="str">
        <f t="shared" si="0"/>
        <v>   </v>
      </c>
      <c r="E28" s="45">
        <f t="shared" si="1"/>
        <v>0</v>
      </c>
    </row>
    <row r="29" spans="1:5" ht="22.5" customHeight="1">
      <c r="A29" s="193" t="s">
        <v>10</v>
      </c>
      <c r="B29" s="46">
        <f>SUM(B6,B8,B10,B12,B18,B19,B22,B23,B28,B25,B17)</f>
        <v>1625500</v>
      </c>
      <c r="C29" s="46">
        <f>SUM(C6,C8,C10,C12,C18,C19,C22,C23,C28,C25,C17)</f>
        <v>1662230.17</v>
      </c>
      <c r="D29" s="158">
        <f t="shared" si="0"/>
        <v>102.25962288526607</v>
      </c>
      <c r="E29" s="159">
        <f t="shared" si="1"/>
        <v>36730.169999999925</v>
      </c>
    </row>
    <row r="30" spans="1:5" ht="16.5" customHeight="1">
      <c r="A30" s="201" t="s">
        <v>147</v>
      </c>
      <c r="B30" s="215">
        <f>SUM(B31:B33,B36:B38)</f>
        <v>1414200</v>
      </c>
      <c r="C30" s="215">
        <f>SUM(C31:C33,C36:C38)</f>
        <v>769751</v>
      </c>
      <c r="D30" s="158">
        <f t="shared" si="0"/>
        <v>54.43013718003111</v>
      </c>
      <c r="E30" s="159">
        <f t="shared" si="1"/>
        <v>-644449</v>
      </c>
    </row>
    <row r="31" spans="1:5" ht="20.25" customHeight="1">
      <c r="A31" s="17" t="s">
        <v>34</v>
      </c>
      <c r="B31" s="24">
        <v>1123300</v>
      </c>
      <c r="C31" s="24">
        <v>653900</v>
      </c>
      <c r="D31" s="26">
        <f t="shared" si="0"/>
        <v>58.21240986379418</v>
      </c>
      <c r="E31" s="45">
        <f t="shared" si="1"/>
        <v>-469400</v>
      </c>
    </row>
    <row r="32" spans="1:5" ht="26.25" customHeight="1">
      <c r="A32" s="150" t="s">
        <v>51</v>
      </c>
      <c r="B32" s="151">
        <v>71300</v>
      </c>
      <c r="C32" s="151">
        <v>43900</v>
      </c>
      <c r="D32" s="152">
        <f t="shared" si="0"/>
        <v>61.57082748948106</v>
      </c>
      <c r="E32" s="153">
        <f t="shared" si="1"/>
        <v>-27400</v>
      </c>
    </row>
    <row r="33" spans="1:5" ht="26.25" customHeight="1">
      <c r="A33" s="124" t="s">
        <v>157</v>
      </c>
      <c r="B33" s="151">
        <f>SUM(B34:B35)</f>
        <v>1900</v>
      </c>
      <c r="C33" s="151">
        <f>SUM(C34:C35)</f>
        <v>100</v>
      </c>
      <c r="D33" s="152">
        <f t="shared" si="0"/>
        <v>5.263157894736842</v>
      </c>
      <c r="E33" s="153">
        <f t="shared" si="1"/>
        <v>-1800</v>
      </c>
    </row>
    <row r="34" spans="1:5" ht="17.25" customHeight="1">
      <c r="A34" s="124" t="s">
        <v>178</v>
      </c>
      <c r="B34" s="151">
        <v>100</v>
      </c>
      <c r="C34" s="151">
        <v>100</v>
      </c>
      <c r="D34" s="152">
        <f>IF(B34=0,"   ",C34/B34*100)</f>
        <v>100</v>
      </c>
      <c r="E34" s="153">
        <f>C34-B34</f>
        <v>0</v>
      </c>
    </row>
    <row r="35" spans="1:5" ht="26.25" customHeight="1">
      <c r="A35" s="124" t="s">
        <v>179</v>
      </c>
      <c r="B35" s="151">
        <v>1800</v>
      </c>
      <c r="C35" s="151">
        <v>0</v>
      </c>
      <c r="D35" s="152">
        <f>IF(B35=0,"   ",C35/B35*100)</f>
        <v>0</v>
      </c>
      <c r="E35" s="153">
        <f>C35-B35</f>
        <v>-1800</v>
      </c>
    </row>
    <row r="36" spans="1:5" ht="36.75" customHeight="1">
      <c r="A36" s="16" t="s">
        <v>104</v>
      </c>
      <c r="B36" s="25">
        <v>0</v>
      </c>
      <c r="C36" s="25">
        <v>0</v>
      </c>
      <c r="D36" s="26" t="str">
        <f t="shared" si="0"/>
        <v>   </v>
      </c>
      <c r="E36" s="45">
        <f t="shared" si="1"/>
        <v>0</v>
      </c>
    </row>
    <row r="37" spans="1:5" ht="18.75" customHeight="1">
      <c r="A37" s="16" t="s">
        <v>189</v>
      </c>
      <c r="B37" s="25">
        <v>0</v>
      </c>
      <c r="C37" s="25">
        <v>0</v>
      </c>
      <c r="D37" s="26" t="str">
        <f t="shared" si="0"/>
        <v>   </v>
      </c>
      <c r="E37" s="45">
        <f t="shared" si="1"/>
        <v>0</v>
      </c>
    </row>
    <row r="38" spans="1:5" ht="15" customHeight="1">
      <c r="A38" s="16" t="s">
        <v>55</v>
      </c>
      <c r="B38" s="25">
        <f>B39</f>
        <v>217700</v>
      </c>
      <c r="C38" s="25">
        <f>C39</f>
        <v>71851</v>
      </c>
      <c r="D38" s="26">
        <f t="shared" si="0"/>
        <v>33.00459347726229</v>
      </c>
      <c r="E38" s="45">
        <f t="shared" si="1"/>
        <v>-145849</v>
      </c>
    </row>
    <row r="39" spans="1:5" s="7" customFormat="1" ht="18" customHeight="1">
      <c r="A39" s="56" t="s">
        <v>110</v>
      </c>
      <c r="B39" s="57">
        <v>217700</v>
      </c>
      <c r="C39" s="27">
        <v>71851</v>
      </c>
      <c r="D39" s="57">
        <f t="shared" si="0"/>
        <v>33.00459347726229</v>
      </c>
      <c r="E39" s="42">
        <f t="shared" si="1"/>
        <v>-145849</v>
      </c>
    </row>
    <row r="40" spans="1:5" ht="18.75" customHeight="1">
      <c r="A40" s="193" t="s">
        <v>11</v>
      </c>
      <c r="B40" s="168">
        <f>SUM(B29:B30,)</f>
        <v>3039700</v>
      </c>
      <c r="C40" s="168">
        <f>SUM(C29:C30,)</f>
        <v>2431981.17</v>
      </c>
      <c r="D40" s="158">
        <f t="shared" si="0"/>
        <v>80.00727604697832</v>
      </c>
      <c r="E40" s="159">
        <f t="shared" si="1"/>
        <v>-607718.8300000001</v>
      </c>
    </row>
    <row r="41" spans="1:5" ht="15" customHeight="1" thickBot="1">
      <c r="A41" s="121" t="s">
        <v>12</v>
      </c>
      <c r="B41" s="122"/>
      <c r="C41" s="123"/>
      <c r="D41" s="128" t="str">
        <f t="shared" si="0"/>
        <v>   </v>
      </c>
      <c r="E41" s="129">
        <f t="shared" si="1"/>
        <v>0</v>
      </c>
    </row>
    <row r="42" spans="1:5" ht="27.75" customHeight="1" thickBot="1">
      <c r="A42" s="145" t="s">
        <v>35</v>
      </c>
      <c r="B42" s="146">
        <f>SUM(B43,B45:B46)</f>
        <v>1064700</v>
      </c>
      <c r="C42" s="146">
        <f>SUM(C43,C45:C46)</f>
        <v>577829.22</v>
      </c>
      <c r="D42" s="147">
        <f t="shared" si="0"/>
        <v>54.27155255001409</v>
      </c>
      <c r="E42" s="148">
        <f t="shared" si="1"/>
        <v>-486870.78</v>
      </c>
    </row>
    <row r="43" spans="1:5" ht="15.75" customHeight="1">
      <c r="A43" s="133" t="s">
        <v>36</v>
      </c>
      <c r="B43" s="134">
        <v>1064200</v>
      </c>
      <c r="C43" s="134">
        <v>577829.22</v>
      </c>
      <c r="D43" s="135">
        <f t="shared" si="0"/>
        <v>54.29705130614546</v>
      </c>
      <c r="E43" s="136">
        <f t="shared" si="1"/>
        <v>-486370.78</v>
      </c>
    </row>
    <row r="44" spans="1:5" ht="14.25" customHeight="1">
      <c r="A44" s="97" t="s">
        <v>121</v>
      </c>
      <c r="B44" s="25">
        <v>722000</v>
      </c>
      <c r="C44" s="28">
        <v>411205.08</v>
      </c>
      <c r="D44" s="26">
        <f t="shared" si="0"/>
        <v>56.95361218836565</v>
      </c>
      <c r="E44" s="45">
        <f t="shared" si="1"/>
        <v>-310794.92</v>
      </c>
    </row>
    <row r="45" spans="1:5" ht="12.75" customHeight="1">
      <c r="A45" s="16" t="s">
        <v>96</v>
      </c>
      <c r="B45" s="25">
        <v>500</v>
      </c>
      <c r="C45" s="27">
        <v>0</v>
      </c>
      <c r="D45" s="26">
        <f t="shared" si="0"/>
        <v>0</v>
      </c>
      <c r="E45" s="45">
        <f t="shared" si="1"/>
        <v>-500</v>
      </c>
    </row>
    <row r="46" spans="1:5" ht="12.75" customHeight="1">
      <c r="A46" s="16" t="s">
        <v>52</v>
      </c>
      <c r="B46" s="25">
        <f>B47+B48</f>
        <v>0</v>
      </c>
      <c r="C46" s="25">
        <f>C47+C48</f>
        <v>0</v>
      </c>
      <c r="D46" s="26" t="str">
        <f t="shared" si="0"/>
        <v>   </v>
      </c>
      <c r="E46" s="45">
        <f t="shared" si="1"/>
        <v>0</v>
      </c>
    </row>
    <row r="47" spans="1:5" ht="24" customHeight="1">
      <c r="A47" s="120" t="s">
        <v>166</v>
      </c>
      <c r="B47" s="130">
        <v>0</v>
      </c>
      <c r="C47" s="131">
        <v>0</v>
      </c>
      <c r="D47" s="26" t="str">
        <f t="shared" si="0"/>
        <v>   </v>
      </c>
      <c r="E47" s="45">
        <f t="shared" si="1"/>
        <v>0</v>
      </c>
    </row>
    <row r="48" spans="1:5" ht="24" customHeight="1" thickBot="1">
      <c r="A48" s="120" t="s">
        <v>143</v>
      </c>
      <c r="B48" s="138">
        <v>0</v>
      </c>
      <c r="C48" s="139">
        <v>0</v>
      </c>
      <c r="D48" s="140"/>
      <c r="E48" s="141"/>
    </row>
    <row r="49" spans="1:5" ht="14.25" customHeight="1" thickBot="1">
      <c r="A49" s="145" t="s">
        <v>49</v>
      </c>
      <c r="B49" s="206">
        <f>SUM(B50)</f>
        <v>71300</v>
      </c>
      <c r="C49" s="206">
        <f>SUM(C50)</f>
        <v>39163.1</v>
      </c>
      <c r="D49" s="147">
        <f t="shared" si="0"/>
        <v>54.92720897615708</v>
      </c>
      <c r="E49" s="148">
        <f t="shared" si="1"/>
        <v>-32136.9</v>
      </c>
    </row>
    <row r="50" spans="1:5" ht="22.5" customHeight="1" thickBot="1">
      <c r="A50" s="137" t="s">
        <v>108</v>
      </c>
      <c r="B50" s="138">
        <v>71300</v>
      </c>
      <c r="C50" s="139">
        <v>39163.1</v>
      </c>
      <c r="D50" s="147">
        <f t="shared" si="0"/>
        <v>54.92720897615708</v>
      </c>
      <c r="E50" s="141">
        <f t="shared" si="1"/>
        <v>-32136.9</v>
      </c>
    </row>
    <row r="51" spans="1:5" ht="17.25" customHeight="1" thickBot="1">
      <c r="A51" s="145" t="s">
        <v>37</v>
      </c>
      <c r="B51" s="146">
        <f>SUM(B52)</f>
        <v>400</v>
      </c>
      <c r="C51" s="146">
        <f>SUM(C52)</f>
        <v>0</v>
      </c>
      <c r="D51" s="147">
        <f t="shared" si="0"/>
        <v>0</v>
      </c>
      <c r="E51" s="148">
        <f t="shared" si="1"/>
        <v>-400</v>
      </c>
    </row>
    <row r="52" spans="1:5" ht="15.75" customHeight="1">
      <c r="A52" s="87" t="s">
        <v>130</v>
      </c>
      <c r="B52" s="134">
        <v>400</v>
      </c>
      <c r="C52" s="142">
        <v>0</v>
      </c>
      <c r="D52" s="135">
        <f t="shared" si="0"/>
        <v>0</v>
      </c>
      <c r="E52" s="136">
        <f t="shared" si="1"/>
        <v>-400</v>
      </c>
    </row>
    <row r="53" spans="1:5" ht="18.75" customHeight="1" thickBot="1">
      <c r="A53" s="164" t="s">
        <v>38</v>
      </c>
      <c r="B53" s="130">
        <f>B57+B54+B63</f>
        <v>738200</v>
      </c>
      <c r="C53" s="130">
        <f>C57+C54+C63</f>
        <v>139351</v>
      </c>
      <c r="D53" s="128">
        <f t="shared" si="0"/>
        <v>18.877133568138717</v>
      </c>
      <c r="E53" s="129">
        <f t="shared" si="1"/>
        <v>-598849</v>
      </c>
    </row>
    <row r="54" spans="1:5" ht="18.75" customHeight="1" thickBot="1">
      <c r="A54" s="87" t="s">
        <v>180</v>
      </c>
      <c r="B54" s="114">
        <f>SUM(B55+B56)</f>
        <v>1800</v>
      </c>
      <c r="C54" s="114">
        <f>SUM(C55+C56)</f>
        <v>0</v>
      </c>
      <c r="D54" s="128">
        <f>IF(B54=0,"   ",C54/B54*100)</f>
        <v>0</v>
      </c>
      <c r="E54" s="129">
        <f>C54-B54</f>
        <v>-1800</v>
      </c>
    </row>
    <row r="55" spans="1:5" ht="18.75" customHeight="1">
      <c r="A55" s="87" t="s">
        <v>181</v>
      </c>
      <c r="B55" s="138">
        <v>1800</v>
      </c>
      <c r="C55" s="130">
        <v>0</v>
      </c>
      <c r="D55" s="128">
        <f>IF(B55=0,"   ",C55/B55*100)</f>
        <v>0</v>
      </c>
      <c r="E55" s="129">
        <f>C55-B55</f>
        <v>-1800</v>
      </c>
    </row>
    <row r="56" spans="1:5" ht="18.75" customHeight="1">
      <c r="A56" s="87" t="s">
        <v>238</v>
      </c>
      <c r="B56" s="138">
        <v>0</v>
      </c>
      <c r="C56" s="130">
        <v>0</v>
      </c>
      <c r="D56" s="128" t="str">
        <f>IF(B56=0,"   ",C56/B56*100)</f>
        <v>   </v>
      </c>
      <c r="E56" s="129">
        <f>C56-B56</f>
        <v>0</v>
      </c>
    </row>
    <row r="57" spans="1:5" ht="15" customHeight="1">
      <c r="A57" s="165" t="s">
        <v>134</v>
      </c>
      <c r="B57" s="25">
        <f>B58+B60+B62+B59+B61</f>
        <v>693900</v>
      </c>
      <c r="C57" s="25">
        <f>C58+C60+C62+C59+C61</f>
        <v>96851</v>
      </c>
      <c r="D57" s="128">
        <f t="shared" si="0"/>
        <v>13.957486669548928</v>
      </c>
      <c r="E57" s="129">
        <f t="shared" si="1"/>
        <v>-597049</v>
      </c>
    </row>
    <row r="58" spans="1:5" ht="18.75" customHeight="1">
      <c r="A58" s="87" t="s">
        <v>148</v>
      </c>
      <c r="B58" s="25">
        <v>0</v>
      </c>
      <c r="C58" s="25">
        <v>0</v>
      </c>
      <c r="D58" s="128" t="str">
        <f t="shared" si="0"/>
        <v>   </v>
      </c>
      <c r="E58" s="129">
        <f t="shared" si="1"/>
        <v>0</v>
      </c>
    </row>
    <row r="59" spans="1:5" ht="18.75" customHeight="1">
      <c r="A59" s="87" t="s">
        <v>158</v>
      </c>
      <c r="B59" s="25">
        <v>0</v>
      </c>
      <c r="C59" s="25">
        <v>0</v>
      </c>
      <c r="D59" s="128" t="str">
        <f>IF(B59=0,"   ",C59/B59*100)</f>
        <v>   </v>
      </c>
      <c r="E59" s="129">
        <f>C59-B59</f>
        <v>0</v>
      </c>
    </row>
    <row r="60" spans="1:5" ht="30" customHeight="1">
      <c r="A60" s="165" t="s">
        <v>135</v>
      </c>
      <c r="B60" s="25">
        <v>217700</v>
      </c>
      <c r="C60" s="25">
        <v>71851</v>
      </c>
      <c r="D60" s="128">
        <f t="shared" si="0"/>
        <v>33.00459347726229</v>
      </c>
      <c r="E60" s="129">
        <f t="shared" si="1"/>
        <v>-145849</v>
      </c>
    </row>
    <row r="61" spans="1:5" ht="30" customHeight="1">
      <c r="A61" s="165" t="s">
        <v>195</v>
      </c>
      <c r="B61" s="25">
        <v>0</v>
      </c>
      <c r="C61" s="25">
        <v>0</v>
      </c>
      <c r="D61" s="128" t="str">
        <f t="shared" si="0"/>
        <v>   </v>
      </c>
      <c r="E61" s="129">
        <f t="shared" si="1"/>
        <v>0</v>
      </c>
    </row>
    <row r="62" spans="1:5" ht="31.5" customHeight="1" thickBot="1">
      <c r="A62" s="165" t="s">
        <v>194</v>
      </c>
      <c r="B62" s="25">
        <v>476200</v>
      </c>
      <c r="C62" s="25">
        <v>25000</v>
      </c>
      <c r="D62" s="128">
        <f t="shared" si="0"/>
        <v>5.249895002099958</v>
      </c>
      <c r="E62" s="129">
        <f t="shared" si="1"/>
        <v>-451200</v>
      </c>
    </row>
    <row r="63" spans="1:5" ht="18" customHeight="1" thickBot="1">
      <c r="A63" s="111" t="s">
        <v>217</v>
      </c>
      <c r="B63" s="114">
        <f>SUM(B64)</f>
        <v>42500</v>
      </c>
      <c r="C63" s="114">
        <f>SUM(C64)</f>
        <v>42500</v>
      </c>
      <c r="D63" s="128">
        <f>IF(B63=0,"   ",C63/B63*100)</f>
        <v>100</v>
      </c>
      <c r="E63" s="129">
        <f>C63-B63</f>
        <v>0</v>
      </c>
    </row>
    <row r="64" spans="1:5" ht="31.5" customHeight="1">
      <c r="A64" s="87" t="s">
        <v>218</v>
      </c>
      <c r="B64" s="138">
        <v>42500</v>
      </c>
      <c r="C64" s="138">
        <v>42500</v>
      </c>
      <c r="D64" s="128">
        <f>IF(B64=0,"   ",C64/B64*100)</f>
        <v>100</v>
      </c>
      <c r="E64" s="129">
        <f>C64-B64</f>
        <v>0</v>
      </c>
    </row>
    <row r="65" spans="1:5" ht="20.25" customHeight="1" thickBot="1">
      <c r="A65" s="161" t="s">
        <v>13</v>
      </c>
      <c r="B65" s="208">
        <f>SUM(B67,B66)</f>
        <v>382400</v>
      </c>
      <c r="C65" s="208">
        <f>SUM(C67,C66)</f>
        <v>153336.49</v>
      </c>
      <c r="D65" s="162">
        <f t="shared" si="0"/>
        <v>40.09845449790795</v>
      </c>
      <c r="E65" s="163">
        <f t="shared" si="1"/>
        <v>-229063.51</v>
      </c>
    </row>
    <row r="66" spans="1:5" ht="15" customHeight="1">
      <c r="A66" s="43" t="s">
        <v>159</v>
      </c>
      <c r="B66" s="25">
        <v>0</v>
      </c>
      <c r="C66" s="25">
        <v>0</v>
      </c>
      <c r="D66" s="140"/>
      <c r="E66" s="141"/>
    </row>
    <row r="67" spans="1:5" ht="15" customHeight="1">
      <c r="A67" s="16" t="s">
        <v>58</v>
      </c>
      <c r="B67" s="25">
        <f>B68+B69+B70+B71</f>
        <v>382400</v>
      </c>
      <c r="C67" s="25">
        <f>C68+C69+C70+C71</f>
        <v>153336.49</v>
      </c>
      <c r="D67" s="26">
        <f t="shared" si="0"/>
        <v>40.09845449790795</v>
      </c>
      <c r="E67" s="45">
        <f t="shared" si="1"/>
        <v>-229063.51</v>
      </c>
    </row>
    <row r="68" spans="1:5" ht="15" customHeight="1">
      <c r="A68" s="16" t="s">
        <v>60</v>
      </c>
      <c r="B68" s="25">
        <v>232400</v>
      </c>
      <c r="C68" s="27">
        <v>54700.33</v>
      </c>
      <c r="D68" s="26">
        <f t="shared" si="0"/>
        <v>23.537147160068848</v>
      </c>
      <c r="E68" s="45">
        <f t="shared" si="1"/>
        <v>-177699.66999999998</v>
      </c>
    </row>
    <row r="69" spans="1:5" ht="15" customHeight="1">
      <c r="A69" s="120" t="s">
        <v>59</v>
      </c>
      <c r="B69" s="130">
        <v>150000</v>
      </c>
      <c r="C69" s="131">
        <v>98636.16</v>
      </c>
      <c r="D69" s="128">
        <f t="shared" si="0"/>
        <v>65.75744</v>
      </c>
      <c r="E69" s="129">
        <f t="shared" si="1"/>
        <v>-51363.84</v>
      </c>
    </row>
    <row r="70" spans="1:5" ht="29.25" customHeight="1">
      <c r="A70" s="120" t="s">
        <v>182</v>
      </c>
      <c r="B70" s="138">
        <v>0</v>
      </c>
      <c r="C70" s="139">
        <v>0</v>
      </c>
      <c r="D70" s="140" t="str">
        <f t="shared" si="0"/>
        <v>   </v>
      </c>
      <c r="E70" s="141">
        <f t="shared" si="1"/>
        <v>0</v>
      </c>
    </row>
    <row r="71" spans="1:5" ht="16.5" customHeight="1" thickBot="1">
      <c r="A71" s="16" t="s">
        <v>95</v>
      </c>
      <c r="B71" s="138">
        <v>0</v>
      </c>
      <c r="C71" s="139">
        <v>0</v>
      </c>
      <c r="D71" s="140" t="str">
        <f t="shared" si="0"/>
        <v>   </v>
      </c>
      <c r="E71" s="141">
        <f t="shared" si="1"/>
        <v>0</v>
      </c>
    </row>
    <row r="72" spans="1:5" ht="18.75" customHeight="1" thickBot="1">
      <c r="A72" s="149" t="s">
        <v>17</v>
      </c>
      <c r="B72" s="114">
        <v>8000</v>
      </c>
      <c r="C72" s="114">
        <v>0</v>
      </c>
      <c r="D72" s="147">
        <f t="shared" si="0"/>
        <v>0</v>
      </c>
      <c r="E72" s="148">
        <f t="shared" si="1"/>
        <v>-8000</v>
      </c>
    </row>
    <row r="73" spans="1:5" ht="19.5" customHeight="1" thickBot="1">
      <c r="A73" s="145" t="s">
        <v>41</v>
      </c>
      <c r="B73" s="207">
        <f>B74</f>
        <v>772700</v>
      </c>
      <c r="C73" s="207">
        <f>C74</f>
        <v>372700</v>
      </c>
      <c r="D73" s="147">
        <f t="shared" si="0"/>
        <v>48.233467063543415</v>
      </c>
      <c r="E73" s="148">
        <f t="shared" si="1"/>
        <v>-400000</v>
      </c>
    </row>
    <row r="74" spans="1:5" ht="12.75">
      <c r="A74" s="133" t="s">
        <v>42</v>
      </c>
      <c r="B74" s="134">
        <v>772700</v>
      </c>
      <c r="C74" s="142">
        <v>372700</v>
      </c>
      <c r="D74" s="135">
        <f t="shared" si="0"/>
        <v>48.233467063543415</v>
      </c>
      <c r="E74" s="136">
        <f t="shared" si="1"/>
        <v>-400000</v>
      </c>
    </row>
    <row r="75" spans="1:5" ht="12.75">
      <c r="A75" s="189" t="s">
        <v>151</v>
      </c>
      <c r="B75" s="134">
        <v>372700</v>
      </c>
      <c r="C75" s="142">
        <v>372700</v>
      </c>
      <c r="D75" s="135">
        <f t="shared" si="0"/>
        <v>100</v>
      </c>
      <c r="E75" s="136">
        <f t="shared" si="1"/>
        <v>0</v>
      </c>
    </row>
    <row r="76" spans="1:5" ht="12.75">
      <c r="A76" s="133" t="s">
        <v>275</v>
      </c>
      <c r="B76" s="134">
        <v>400000</v>
      </c>
      <c r="C76" s="142">
        <v>0</v>
      </c>
      <c r="D76" s="135">
        <f t="shared" si="0"/>
        <v>0</v>
      </c>
      <c r="E76" s="136">
        <f t="shared" si="1"/>
        <v>-400000</v>
      </c>
    </row>
    <row r="77" spans="1:5" ht="18.75" customHeight="1">
      <c r="A77" s="16" t="s">
        <v>125</v>
      </c>
      <c r="B77" s="25">
        <f>SUM(B78,)</f>
        <v>2000</v>
      </c>
      <c r="C77" s="25">
        <f>SUM(C78,)</f>
        <v>0</v>
      </c>
      <c r="D77" s="26">
        <f t="shared" si="0"/>
        <v>0</v>
      </c>
      <c r="E77" s="45">
        <f t="shared" si="1"/>
        <v>-2000</v>
      </c>
    </row>
    <row r="78" spans="1:5" ht="14.25" customHeight="1">
      <c r="A78" s="120" t="s">
        <v>43</v>
      </c>
      <c r="B78" s="130">
        <v>2000</v>
      </c>
      <c r="C78" s="132">
        <v>0</v>
      </c>
      <c r="D78" s="128">
        <f t="shared" si="0"/>
        <v>0</v>
      </c>
      <c r="E78" s="129">
        <f t="shared" si="1"/>
        <v>-2000</v>
      </c>
    </row>
    <row r="79" spans="1:5" ht="22.5" customHeight="1">
      <c r="A79" s="193" t="s">
        <v>15</v>
      </c>
      <c r="B79" s="168">
        <f>SUM(B42,B49,B51,B53,B65,B72,B73,B77,)</f>
        <v>3039700</v>
      </c>
      <c r="C79" s="168">
        <f>SUM(C42,C49,C51,C53,C65,C72,C73,C77,)</f>
        <v>1282379.81</v>
      </c>
      <c r="D79" s="158">
        <f>IF(B79=0,"   ",C79/B79*100)</f>
        <v>42.18770964239892</v>
      </c>
      <c r="E79" s="159">
        <f t="shared" si="1"/>
        <v>-1757320.19</v>
      </c>
    </row>
    <row r="80" spans="1:5" ht="18.75" customHeight="1">
      <c r="A80" s="92" t="s">
        <v>176</v>
      </c>
      <c r="B80" s="92"/>
      <c r="C80" s="244"/>
      <c r="D80" s="244"/>
      <c r="E80" s="244"/>
    </row>
    <row r="81" spans="1:5" ht="18" customHeight="1">
      <c r="A81" s="92" t="s">
        <v>165</v>
      </c>
      <c r="B81" s="92"/>
      <c r="C81" s="93" t="s">
        <v>177</v>
      </c>
      <c r="D81" s="94"/>
      <c r="E81" s="95"/>
    </row>
    <row r="82" spans="1:5" s="69" customFormat="1" ht="23.25" customHeight="1">
      <c r="A82" s="7"/>
      <c r="B82" s="7"/>
      <c r="C82" s="6"/>
      <c r="D82" s="7"/>
      <c r="E82" s="2"/>
    </row>
    <row r="83" spans="1:5" s="69" customFormat="1" ht="12" customHeight="1">
      <c r="A83" s="7"/>
      <c r="B83" s="7"/>
      <c r="C83" s="6"/>
      <c r="D83" s="7"/>
      <c r="E83" s="2"/>
    </row>
    <row r="84" spans="1:5" ht="12.75">
      <c r="A84" s="7"/>
      <c r="B84" s="7"/>
      <c r="C84" s="6"/>
      <c r="D84" s="7"/>
      <c r="E84" s="2"/>
    </row>
    <row r="85" spans="1:5" ht="12.75">
      <c r="A85" s="7"/>
      <c r="B85" s="7"/>
      <c r="C85" s="6"/>
      <c r="D85" s="7"/>
      <c r="E85" s="2"/>
    </row>
    <row r="86" spans="1:5" ht="12.75">
      <c r="A86" s="4"/>
      <c r="B86" s="4"/>
      <c r="C86" s="4"/>
      <c r="D86" s="4"/>
      <c r="E86" s="4"/>
    </row>
    <row r="87" spans="1:5" ht="12.75">
      <c r="A87" s="4"/>
      <c r="B87" s="4"/>
      <c r="C87" s="4"/>
      <c r="D87" s="4"/>
      <c r="E87" s="4"/>
    </row>
    <row r="88" spans="1:5" ht="12.75">
      <c r="A88" s="4"/>
      <c r="B88" s="4"/>
      <c r="C88" s="4"/>
      <c r="D88" s="4"/>
      <c r="E88" s="4"/>
    </row>
    <row r="89" spans="1:5" ht="12.75">
      <c r="A89" s="4"/>
      <c r="B89" s="4"/>
      <c r="C89" s="4"/>
      <c r="D89" s="4"/>
      <c r="E89" s="4"/>
    </row>
    <row r="90" spans="1:5" ht="12.75">
      <c r="A90" s="4"/>
      <c r="B90" s="4"/>
      <c r="C90" s="4"/>
      <c r="D90" s="4"/>
      <c r="E90" s="4"/>
    </row>
    <row r="91" spans="1:5" ht="12.75">
      <c r="A91" s="4"/>
      <c r="B91" s="4"/>
      <c r="C91" s="4"/>
      <c r="D91" s="4"/>
      <c r="E91" s="4"/>
    </row>
    <row r="92" spans="1:5" ht="12.75">
      <c r="A92" s="4"/>
      <c r="B92" s="4"/>
      <c r="C92" s="4"/>
      <c r="D92" s="4"/>
      <c r="E92" s="4"/>
    </row>
    <row r="93" spans="1:5" ht="12.75">
      <c r="A93" s="4"/>
      <c r="B93" s="4"/>
      <c r="C93" s="4"/>
      <c r="D93" s="4"/>
      <c r="E93" s="4"/>
    </row>
    <row r="94" spans="1:5" ht="12.75">
      <c r="A94" s="4"/>
      <c r="B94" s="4"/>
      <c r="C94" s="4"/>
      <c r="D94" s="4"/>
      <c r="E94" s="4"/>
    </row>
    <row r="95" spans="1:5" ht="12.75">
      <c r="A95" s="4"/>
      <c r="B95" s="4"/>
      <c r="C95" s="4"/>
      <c r="D95" s="4"/>
      <c r="E95" s="4"/>
    </row>
    <row r="96" spans="1:5" ht="12.75">
      <c r="A96" s="4"/>
      <c r="B96" s="4"/>
      <c r="C96" s="4"/>
      <c r="D96" s="4"/>
      <c r="E96" s="4"/>
    </row>
    <row r="97" spans="1:5" ht="12.75">
      <c r="A97" s="4"/>
      <c r="B97" s="4"/>
      <c r="C97" s="4"/>
      <c r="D97" s="4"/>
      <c r="E97" s="4"/>
    </row>
    <row r="98" spans="1:5" ht="12.75">
      <c r="A98" s="4"/>
      <c r="B98" s="4"/>
      <c r="C98" s="4"/>
      <c r="D98" s="4"/>
      <c r="E98" s="4"/>
    </row>
    <row r="99" spans="1:5" ht="12.75">
      <c r="A99" s="4"/>
      <c r="B99" s="4"/>
      <c r="C99" s="4"/>
      <c r="D99" s="4"/>
      <c r="E99" s="4"/>
    </row>
    <row r="100" spans="1:5" ht="12.75">
      <c r="A100" s="4"/>
      <c r="B100" s="4"/>
      <c r="C100" s="4"/>
      <c r="D100" s="4"/>
      <c r="E100" s="4"/>
    </row>
    <row r="101" spans="1:5" ht="12.75">
      <c r="A101" s="4"/>
      <c r="B101" s="4"/>
      <c r="C101" s="4"/>
      <c r="D101" s="4"/>
      <c r="E101" s="4"/>
    </row>
    <row r="102" spans="1:5" ht="12.75">
      <c r="A102" s="4"/>
      <c r="B102" s="4"/>
      <c r="C102" s="4"/>
      <c r="D102" s="4"/>
      <c r="E102" s="4"/>
    </row>
    <row r="103" spans="1:5" ht="12.75">
      <c r="A103" s="4"/>
      <c r="B103" s="4"/>
      <c r="C103" s="4"/>
      <c r="D103" s="4"/>
      <c r="E103" s="4"/>
    </row>
    <row r="104" spans="1:5" ht="12.75">
      <c r="A104" s="4"/>
      <c r="B104" s="4"/>
      <c r="C104" s="4"/>
      <c r="D104" s="4"/>
      <c r="E104" s="4"/>
    </row>
    <row r="105" spans="1:5" ht="12.75">
      <c r="A105" s="4"/>
      <c r="B105" s="4"/>
      <c r="C105" s="4"/>
      <c r="D105" s="4"/>
      <c r="E105" s="4"/>
    </row>
    <row r="106" spans="1:5" ht="12.75">
      <c r="A106" s="4"/>
      <c r="B106" s="4"/>
      <c r="C106" s="4"/>
      <c r="D106" s="4"/>
      <c r="E106" s="4"/>
    </row>
    <row r="107" spans="1:5" ht="12.75">
      <c r="A107" s="4"/>
      <c r="B107" s="4"/>
      <c r="C107" s="4"/>
      <c r="D107" s="4"/>
      <c r="E107" s="4"/>
    </row>
    <row r="108" spans="1:5" ht="12.75">
      <c r="A108" s="4"/>
      <c r="B108" s="4"/>
      <c r="C108" s="4"/>
      <c r="D108" s="4"/>
      <c r="E108" s="4"/>
    </row>
    <row r="109" spans="1:5" ht="12.75">
      <c r="A109" s="4"/>
      <c r="B109" s="4"/>
      <c r="C109" s="4"/>
      <c r="D109" s="4"/>
      <c r="E109" s="4"/>
    </row>
    <row r="110" spans="1:5" ht="12.75">
      <c r="A110" s="4"/>
      <c r="B110" s="4"/>
      <c r="C110" s="4"/>
      <c r="D110" s="4"/>
      <c r="E110" s="4"/>
    </row>
  </sheetData>
  <sheetProtection/>
  <mergeCells count="2">
    <mergeCell ref="A1:E1"/>
    <mergeCell ref="C80:E80"/>
  </mergeCells>
  <printOptions/>
  <pageMargins left="1.1811023622047245" right="0.7874015748031497" top="0.3937007874015748" bottom="0.3937007874015748" header="0.3937007874015748" footer="0.3937007874015748"/>
  <pageSetup fitToHeight="2" horizontalDpi="600" verticalDpi="600" orientation="landscape" paperSize="9" scale="69" r:id="rId1"/>
  <rowBreaks count="1" manualBreakCount="1">
    <brk id="4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83"/>
  <sheetViews>
    <sheetView zoomScalePageLayoutView="0" workbookViewId="0" topLeftCell="A11">
      <selection activeCell="C33" sqref="C33"/>
    </sheetView>
  </sheetViews>
  <sheetFormatPr defaultColWidth="9.00390625" defaultRowHeight="12.75"/>
  <cols>
    <col min="1" max="1" width="118.25390625" style="0" customWidth="1"/>
    <col min="2" max="2" width="15.125" style="0" customWidth="1"/>
    <col min="3" max="3" width="16.25390625" style="0" customWidth="1"/>
    <col min="4" max="4" width="15.875" style="0" customWidth="1"/>
    <col min="5" max="5" width="15.375" style="0" customWidth="1"/>
  </cols>
  <sheetData>
    <row r="1" spans="1:5" ht="18">
      <c r="A1" s="246" t="s">
        <v>302</v>
      </c>
      <c r="B1" s="246"/>
      <c r="C1" s="246"/>
      <c r="D1" s="246"/>
      <c r="E1" s="246"/>
    </row>
    <row r="2" spans="1:5" ht="12.75">
      <c r="A2" s="4"/>
      <c r="B2" s="4"/>
      <c r="C2" s="3"/>
      <c r="D2" s="3"/>
      <c r="E2" s="3"/>
    </row>
    <row r="3" spans="1:5" ht="1.5" customHeight="1" thickBot="1">
      <c r="A3" s="4"/>
      <c r="B3" s="4"/>
      <c r="C3" s="5"/>
      <c r="D3" s="4"/>
      <c r="E3" s="4" t="s">
        <v>0</v>
      </c>
    </row>
    <row r="4" spans="1:5" ht="85.5" customHeight="1">
      <c r="A4" s="34" t="s">
        <v>1</v>
      </c>
      <c r="B4" s="19" t="s">
        <v>255</v>
      </c>
      <c r="C4" s="32" t="s">
        <v>303</v>
      </c>
      <c r="D4" s="19" t="s">
        <v>256</v>
      </c>
      <c r="E4" s="36" t="s">
        <v>257</v>
      </c>
    </row>
    <row r="5" spans="1:5" ht="12.75">
      <c r="A5" s="13">
        <v>1</v>
      </c>
      <c r="B5" s="85">
        <v>2</v>
      </c>
      <c r="C5" s="10">
        <v>3</v>
      </c>
      <c r="D5" s="29">
        <v>4</v>
      </c>
      <c r="E5" s="14">
        <v>5</v>
      </c>
    </row>
    <row r="6" spans="1:5" ht="13.5" customHeight="1">
      <c r="A6" s="22" t="s">
        <v>2</v>
      </c>
      <c r="B6" s="11"/>
      <c r="C6" s="12"/>
      <c r="D6" s="25"/>
      <c r="E6" s="15"/>
    </row>
    <row r="7" spans="1:5" ht="15" customHeight="1">
      <c r="A7" s="17" t="s">
        <v>45</v>
      </c>
      <c r="B7" s="24">
        <f>SUM(B8)</f>
        <v>41300</v>
      </c>
      <c r="C7" s="24">
        <f>SUM(C8)</f>
        <v>26982.01</v>
      </c>
      <c r="D7" s="26">
        <f aca="true" t="shared" si="0" ref="D7:D76">IF(B7=0,"   ",C7/B7*100)</f>
        <v>65.33174334140436</v>
      </c>
      <c r="E7" s="45">
        <f aca="true" t="shared" si="1" ref="E7:E77">C7-B7</f>
        <v>-14317.990000000002</v>
      </c>
    </row>
    <row r="8" spans="1:5" ht="12.75" customHeight="1">
      <c r="A8" s="16" t="s">
        <v>44</v>
      </c>
      <c r="B8" s="25">
        <v>41300</v>
      </c>
      <c r="C8" s="27">
        <v>26982.01</v>
      </c>
      <c r="D8" s="26">
        <f t="shared" si="0"/>
        <v>65.33174334140436</v>
      </c>
      <c r="E8" s="45">
        <f t="shared" si="1"/>
        <v>-14317.990000000002</v>
      </c>
    </row>
    <row r="9" spans="1:5" ht="12.75" customHeight="1">
      <c r="A9" s="74" t="s">
        <v>144</v>
      </c>
      <c r="B9" s="24">
        <f>SUM(B10)</f>
        <v>623400</v>
      </c>
      <c r="C9" s="24">
        <f>SUM(C10)</f>
        <v>363386.7</v>
      </c>
      <c r="D9" s="26">
        <f t="shared" si="0"/>
        <v>58.29109720885467</v>
      </c>
      <c r="E9" s="45">
        <f t="shared" si="1"/>
        <v>-260013.3</v>
      </c>
    </row>
    <row r="10" spans="1:5" ht="12.75" customHeight="1">
      <c r="A10" s="43" t="s">
        <v>145</v>
      </c>
      <c r="B10" s="25">
        <v>623400</v>
      </c>
      <c r="C10" s="27">
        <v>363386.7</v>
      </c>
      <c r="D10" s="26">
        <f t="shared" si="0"/>
        <v>58.29109720885467</v>
      </c>
      <c r="E10" s="45">
        <f t="shared" si="1"/>
        <v>-260013.3</v>
      </c>
    </row>
    <row r="11" spans="1:5" ht="16.5" customHeight="1">
      <c r="A11" s="16" t="s">
        <v>7</v>
      </c>
      <c r="B11" s="25">
        <f>SUM(B12:B12)</f>
        <v>8800</v>
      </c>
      <c r="C11" s="25">
        <f>SUM(C12:C12)</f>
        <v>8118</v>
      </c>
      <c r="D11" s="26">
        <f t="shared" si="0"/>
        <v>92.25</v>
      </c>
      <c r="E11" s="45">
        <f t="shared" si="1"/>
        <v>-682</v>
      </c>
    </row>
    <row r="12" spans="1:5" ht="16.5" customHeight="1">
      <c r="A12" s="16" t="s">
        <v>26</v>
      </c>
      <c r="B12" s="25">
        <v>8800</v>
      </c>
      <c r="C12" s="27">
        <v>8118</v>
      </c>
      <c r="D12" s="26">
        <f t="shared" si="0"/>
        <v>92.25</v>
      </c>
      <c r="E12" s="45">
        <f t="shared" si="1"/>
        <v>-682</v>
      </c>
    </row>
    <row r="13" spans="1:5" ht="15.75" customHeight="1">
      <c r="A13" s="16" t="s">
        <v>9</v>
      </c>
      <c r="B13" s="25">
        <f>SUM(B14:B15)</f>
        <v>377000</v>
      </c>
      <c r="C13" s="25">
        <f>SUM(C14:C15)</f>
        <v>56102.64</v>
      </c>
      <c r="D13" s="26">
        <f t="shared" si="0"/>
        <v>14.881336870026526</v>
      </c>
      <c r="E13" s="45">
        <f t="shared" si="1"/>
        <v>-320897.36</v>
      </c>
    </row>
    <row r="14" spans="1:5" ht="15.75" customHeight="1">
      <c r="A14" s="16" t="s">
        <v>27</v>
      </c>
      <c r="B14" s="25">
        <v>53000</v>
      </c>
      <c r="C14" s="27">
        <v>-5939.98</v>
      </c>
      <c r="D14" s="26">
        <f t="shared" si="0"/>
        <v>-11.207509433962263</v>
      </c>
      <c r="E14" s="45">
        <f t="shared" si="1"/>
        <v>-58939.979999999996</v>
      </c>
    </row>
    <row r="15" spans="1:5" ht="14.25" customHeight="1">
      <c r="A15" s="43" t="s">
        <v>173</v>
      </c>
      <c r="B15" s="31">
        <f>SUM(B16:B17)</f>
        <v>324000</v>
      </c>
      <c r="C15" s="31">
        <f>SUM(C16:C17)</f>
        <v>62042.619999999995</v>
      </c>
      <c r="D15" s="26">
        <f t="shared" si="0"/>
        <v>19.148956790123457</v>
      </c>
      <c r="E15" s="45">
        <f t="shared" si="1"/>
        <v>-261957.38</v>
      </c>
    </row>
    <row r="16" spans="1:5" ht="14.25" customHeight="1">
      <c r="A16" s="43" t="s">
        <v>174</v>
      </c>
      <c r="B16" s="31">
        <v>48900</v>
      </c>
      <c r="C16" s="79">
        <v>47684.74</v>
      </c>
      <c r="D16" s="26">
        <f t="shared" si="0"/>
        <v>97.51480572597137</v>
      </c>
      <c r="E16" s="45">
        <f t="shared" si="1"/>
        <v>-1215.260000000002</v>
      </c>
    </row>
    <row r="17" spans="1:5" ht="14.25" customHeight="1">
      <c r="A17" s="43" t="s">
        <v>175</v>
      </c>
      <c r="B17" s="31">
        <v>275100</v>
      </c>
      <c r="C17" s="79">
        <v>14357.88</v>
      </c>
      <c r="D17" s="26">
        <f t="shared" si="0"/>
        <v>5.219149400218102</v>
      </c>
      <c r="E17" s="45">
        <f t="shared" si="1"/>
        <v>-260742.12</v>
      </c>
    </row>
    <row r="18" spans="1:5" ht="15" customHeight="1">
      <c r="A18" s="16" t="s">
        <v>88</v>
      </c>
      <c r="B18" s="25">
        <v>0</v>
      </c>
      <c r="C18" s="25">
        <v>0</v>
      </c>
      <c r="D18" s="26" t="str">
        <f t="shared" si="0"/>
        <v>   </v>
      </c>
      <c r="E18" s="45">
        <f t="shared" si="1"/>
        <v>0</v>
      </c>
    </row>
    <row r="19" spans="1:5" ht="13.5" customHeight="1">
      <c r="A19" s="16" t="s">
        <v>28</v>
      </c>
      <c r="B19" s="25">
        <f>SUM(B20:B21)</f>
        <v>184600</v>
      </c>
      <c r="C19" s="25">
        <f>SUM(C20:C21)</f>
        <v>55842.42999999999</v>
      </c>
      <c r="D19" s="26">
        <f t="shared" si="0"/>
        <v>30.250503791982663</v>
      </c>
      <c r="E19" s="45">
        <f t="shared" si="1"/>
        <v>-128757.57</v>
      </c>
    </row>
    <row r="20" spans="1:5" ht="13.5" customHeight="1">
      <c r="A20" s="43" t="s">
        <v>163</v>
      </c>
      <c r="B20" s="25">
        <v>74600</v>
      </c>
      <c r="C20" s="27">
        <v>4974.16</v>
      </c>
      <c r="D20" s="26">
        <f t="shared" si="0"/>
        <v>6.667774798927614</v>
      </c>
      <c r="E20" s="45">
        <f t="shared" si="1"/>
        <v>-69625.84</v>
      </c>
    </row>
    <row r="21" spans="1:5" ht="15.75" customHeight="1">
      <c r="A21" s="16" t="s">
        <v>30</v>
      </c>
      <c r="B21" s="25">
        <v>110000</v>
      </c>
      <c r="C21" s="27">
        <v>50868.27</v>
      </c>
      <c r="D21" s="26">
        <f t="shared" si="0"/>
        <v>46.24388181818181</v>
      </c>
      <c r="E21" s="45">
        <f t="shared" si="1"/>
        <v>-59131.73</v>
      </c>
    </row>
    <row r="22" spans="1:5" ht="17.25" customHeight="1">
      <c r="A22" s="41" t="s">
        <v>92</v>
      </c>
      <c r="B22" s="25">
        <v>0</v>
      </c>
      <c r="C22" s="27">
        <v>12402.39</v>
      </c>
      <c r="D22" s="26" t="str">
        <f t="shared" si="0"/>
        <v>   </v>
      </c>
      <c r="E22" s="45">
        <f t="shared" si="1"/>
        <v>12402.39</v>
      </c>
    </row>
    <row r="23" spans="1:5" ht="18.75" customHeight="1">
      <c r="A23" s="16" t="s">
        <v>78</v>
      </c>
      <c r="B23" s="25">
        <f>SUM(B24)</f>
        <v>59100</v>
      </c>
      <c r="C23" s="25">
        <f>SUM(C24)</f>
        <v>59113</v>
      </c>
      <c r="D23" s="26">
        <f t="shared" si="0"/>
        <v>100.02199661590525</v>
      </c>
      <c r="E23" s="45">
        <f t="shared" si="1"/>
        <v>13</v>
      </c>
    </row>
    <row r="24" spans="1:5" ht="22.5" customHeight="1">
      <c r="A24" s="16" t="s">
        <v>266</v>
      </c>
      <c r="B24" s="25">
        <v>59100</v>
      </c>
      <c r="C24" s="27">
        <v>59113</v>
      </c>
      <c r="D24" s="26">
        <f t="shared" si="0"/>
        <v>100.02199661590525</v>
      </c>
      <c r="E24" s="45">
        <f t="shared" si="1"/>
        <v>13</v>
      </c>
    </row>
    <row r="25" spans="1:5" ht="16.5" customHeight="1">
      <c r="A25" s="16" t="s">
        <v>32</v>
      </c>
      <c r="B25" s="25">
        <f>B26+B27</f>
        <v>0</v>
      </c>
      <c r="C25" s="25">
        <f>C26+C27</f>
        <v>0</v>
      </c>
      <c r="D25" s="26" t="str">
        <f t="shared" si="0"/>
        <v>   </v>
      </c>
      <c r="E25" s="45">
        <f t="shared" si="1"/>
        <v>0</v>
      </c>
    </row>
    <row r="26" spans="1:5" ht="13.5" customHeight="1">
      <c r="A26" s="16" t="s">
        <v>46</v>
      </c>
      <c r="B26" s="25">
        <v>0</v>
      </c>
      <c r="C26" s="27">
        <v>0</v>
      </c>
      <c r="D26" s="26" t="str">
        <f t="shared" si="0"/>
        <v>   </v>
      </c>
      <c r="E26" s="45">
        <f t="shared" si="1"/>
        <v>0</v>
      </c>
    </row>
    <row r="27" spans="1:5" ht="13.5" customHeight="1">
      <c r="A27" s="16" t="s">
        <v>20</v>
      </c>
      <c r="B27" s="25">
        <v>0</v>
      </c>
      <c r="C27" s="27">
        <v>0</v>
      </c>
      <c r="D27" s="26"/>
      <c r="E27" s="45">
        <f t="shared" si="1"/>
        <v>0</v>
      </c>
    </row>
    <row r="28" spans="1:5" ht="12" customHeight="1">
      <c r="A28" s="16" t="s">
        <v>31</v>
      </c>
      <c r="B28" s="25">
        <v>0</v>
      </c>
      <c r="C28" s="25">
        <v>0</v>
      </c>
      <c r="D28" s="26" t="str">
        <f t="shared" si="0"/>
        <v>   </v>
      </c>
      <c r="E28" s="45">
        <f t="shared" si="1"/>
        <v>0</v>
      </c>
    </row>
    <row r="29" spans="1:5" ht="21" customHeight="1">
      <c r="A29" s="193" t="s">
        <v>10</v>
      </c>
      <c r="B29" s="168">
        <f>SUM(B7,B9,B11,B13,B19,B22,B23,B25,B28)</f>
        <v>1294200</v>
      </c>
      <c r="C29" s="168">
        <f>SUM(C7,C9,C11,C13,C19,C22,C23,C25,C28)</f>
        <v>581947.17</v>
      </c>
      <c r="D29" s="158">
        <f t="shared" si="0"/>
        <v>44.96578349559574</v>
      </c>
      <c r="E29" s="159">
        <f t="shared" si="1"/>
        <v>-712252.83</v>
      </c>
    </row>
    <row r="30" spans="1:5" ht="21" customHeight="1">
      <c r="A30" s="216" t="s">
        <v>147</v>
      </c>
      <c r="B30" s="215">
        <f>SUM(B31:B33,B36:B37,B40)</f>
        <v>1953800</v>
      </c>
      <c r="C30" s="215">
        <f>SUM(C31:C33,C36:C37,C40)</f>
        <v>829339</v>
      </c>
      <c r="D30" s="158">
        <f t="shared" si="0"/>
        <v>42.447486948510594</v>
      </c>
      <c r="E30" s="159">
        <f t="shared" si="1"/>
        <v>-1124461</v>
      </c>
    </row>
    <row r="31" spans="1:5" ht="18" customHeight="1">
      <c r="A31" s="17" t="s">
        <v>34</v>
      </c>
      <c r="B31" s="24">
        <v>1023200</v>
      </c>
      <c r="C31" s="24">
        <v>595300</v>
      </c>
      <c r="D31" s="26">
        <f t="shared" si="0"/>
        <v>58.18021892103206</v>
      </c>
      <c r="E31" s="45">
        <f t="shared" si="1"/>
        <v>-427900</v>
      </c>
    </row>
    <row r="32" spans="1:5" ht="28.5" customHeight="1">
      <c r="A32" s="150" t="s">
        <v>51</v>
      </c>
      <c r="B32" s="151">
        <v>71300</v>
      </c>
      <c r="C32" s="154">
        <v>45800</v>
      </c>
      <c r="D32" s="152">
        <f t="shared" si="0"/>
        <v>64.23562412342217</v>
      </c>
      <c r="E32" s="153">
        <f t="shared" si="1"/>
        <v>-25500</v>
      </c>
    </row>
    <row r="33" spans="1:5" ht="30.75" customHeight="1">
      <c r="A33" s="124" t="s">
        <v>157</v>
      </c>
      <c r="B33" s="151">
        <f>SUM(B34:B35)</f>
        <v>100</v>
      </c>
      <c r="C33" s="151">
        <f>SUM(C34:C35)</f>
        <v>100</v>
      </c>
      <c r="D33" s="152">
        <f t="shared" si="0"/>
        <v>100</v>
      </c>
      <c r="E33" s="153">
        <f t="shared" si="1"/>
        <v>0</v>
      </c>
    </row>
    <row r="34" spans="1:5" ht="16.5" customHeight="1">
      <c r="A34" s="124" t="s">
        <v>178</v>
      </c>
      <c r="B34" s="151">
        <v>100</v>
      </c>
      <c r="C34" s="154">
        <v>100</v>
      </c>
      <c r="D34" s="152">
        <f>IF(B34=0,"   ",C34/B34*100)</f>
        <v>100</v>
      </c>
      <c r="E34" s="153">
        <f>C34-B34</f>
        <v>0</v>
      </c>
    </row>
    <row r="35" spans="1:5" ht="30.75" customHeight="1">
      <c r="A35" s="124" t="s">
        <v>179</v>
      </c>
      <c r="B35" s="151">
        <v>0</v>
      </c>
      <c r="C35" s="154">
        <v>0</v>
      </c>
      <c r="D35" s="152" t="str">
        <f>IF(B35=0,"   ",C35/B35*100)</f>
        <v>   </v>
      </c>
      <c r="E35" s="153">
        <f>C35-B35</f>
        <v>0</v>
      </c>
    </row>
    <row r="36" spans="1:5" ht="25.5" customHeight="1">
      <c r="A36" s="16" t="s">
        <v>104</v>
      </c>
      <c r="B36" s="151">
        <v>0</v>
      </c>
      <c r="C36" s="151">
        <v>0</v>
      </c>
      <c r="D36" s="152" t="str">
        <f t="shared" si="0"/>
        <v>   </v>
      </c>
      <c r="E36" s="153">
        <f t="shared" si="1"/>
        <v>0</v>
      </c>
    </row>
    <row r="37" spans="1:5" ht="15" customHeight="1">
      <c r="A37" s="16" t="s">
        <v>81</v>
      </c>
      <c r="B37" s="25">
        <f>B39+B38</f>
        <v>701200</v>
      </c>
      <c r="C37" s="25">
        <f>C39+C38</f>
        <v>188139</v>
      </c>
      <c r="D37" s="26">
        <f t="shared" si="0"/>
        <v>26.83100399315459</v>
      </c>
      <c r="E37" s="45">
        <f t="shared" si="1"/>
        <v>-513061</v>
      </c>
    </row>
    <row r="38" spans="1:5" ht="15" customHeight="1">
      <c r="A38" s="56" t="s">
        <v>235</v>
      </c>
      <c r="B38" s="25">
        <v>237000</v>
      </c>
      <c r="C38" s="25">
        <v>0</v>
      </c>
      <c r="D38" s="26">
        <f t="shared" si="0"/>
        <v>0</v>
      </c>
      <c r="E38" s="45">
        <f t="shared" si="1"/>
        <v>-237000</v>
      </c>
    </row>
    <row r="39" spans="1:5" s="7" customFormat="1" ht="15" customHeight="1">
      <c r="A39" s="56" t="s">
        <v>110</v>
      </c>
      <c r="B39" s="57">
        <v>464200</v>
      </c>
      <c r="C39" s="57">
        <v>188139</v>
      </c>
      <c r="D39" s="57">
        <f t="shared" si="0"/>
        <v>40.52972856527359</v>
      </c>
      <c r="E39" s="42">
        <f t="shared" si="1"/>
        <v>-276061</v>
      </c>
    </row>
    <row r="40" spans="1:5" s="7" customFormat="1" ht="15" customHeight="1">
      <c r="A40" s="16" t="s">
        <v>267</v>
      </c>
      <c r="B40" s="57">
        <v>158000</v>
      </c>
      <c r="C40" s="57">
        <v>0</v>
      </c>
      <c r="D40" s="57">
        <f t="shared" si="0"/>
        <v>0</v>
      </c>
      <c r="E40" s="42">
        <f t="shared" si="1"/>
        <v>-158000</v>
      </c>
    </row>
    <row r="41" spans="1:5" ht="21" customHeight="1">
      <c r="A41" s="193" t="s">
        <v>11</v>
      </c>
      <c r="B41" s="168">
        <f>SUM(B29:B30,)</f>
        <v>3248000</v>
      </c>
      <c r="C41" s="168">
        <f>SUM(C29:C30,)</f>
        <v>1411286.17</v>
      </c>
      <c r="D41" s="26">
        <f t="shared" si="0"/>
        <v>43.45092887931034</v>
      </c>
      <c r="E41" s="45">
        <f t="shared" si="1"/>
        <v>-1836713.83</v>
      </c>
    </row>
    <row r="42" spans="1:5" ht="12.75" customHeight="1">
      <c r="A42" s="22" t="s">
        <v>12</v>
      </c>
      <c r="B42" s="47"/>
      <c r="C42" s="48"/>
      <c r="D42" s="26" t="str">
        <f t="shared" si="0"/>
        <v>   </v>
      </c>
      <c r="E42" s="45">
        <f t="shared" si="1"/>
        <v>0</v>
      </c>
    </row>
    <row r="43" spans="1:5" ht="21" customHeight="1">
      <c r="A43" s="16" t="s">
        <v>35</v>
      </c>
      <c r="B43" s="25">
        <f>SUM(B44,B46,B47)</f>
        <v>1046400</v>
      </c>
      <c r="C43" s="25">
        <f>SUM(C44,C46,C47)</f>
        <v>504395.84</v>
      </c>
      <c r="D43" s="26">
        <f t="shared" si="0"/>
        <v>48.20296636085627</v>
      </c>
      <c r="E43" s="45">
        <f t="shared" si="1"/>
        <v>-542004.1599999999</v>
      </c>
    </row>
    <row r="44" spans="1:5" ht="15" customHeight="1">
      <c r="A44" s="16" t="s">
        <v>36</v>
      </c>
      <c r="B44" s="25">
        <v>1045900</v>
      </c>
      <c r="C44" s="25">
        <v>504395.84</v>
      </c>
      <c r="D44" s="26">
        <f t="shared" si="0"/>
        <v>48.22601013481213</v>
      </c>
      <c r="E44" s="45">
        <f t="shared" si="1"/>
        <v>-541504.1599999999</v>
      </c>
    </row>
    <row r="45" spans="1:5" ht="15" customHeight="1">
      <c r="A45" s="97" t="s">
        <v>122</v>
      </c>
      <c r="B45" s="25">
        <v>716600</v>
      </c>
      <c r="C45" s="28">
        <v>350577.3</v>
      </c>
      <c r="D45" s="26">
        <f t="shared" si="0"/>
        <v>48.92231370360033</v>
      </c>
      <c r="E45" s="45">
        <f t="shared" si="1"/>
        <v>-366022.7</v>
      </c>
    </row>
    <row r="46" spans="1:5" ht="12.75" customHeight="1">
      <c r="A46" s="16" t="s">
        <v>96</v>
      </c>
      <c r="B46" s="25">
        <v>500</v>
      </c>
      <c r="C46" s="27">
        <v>0</v>
      </c>
      <c r="D46" s="26">
        <f t="shared" si="0"/>
        <v>0</v>
      </c>
      <c r="E46" s="45">
        <f t="shared" si="1"/>
        <v>-500</v>
      </c>
    </row>
    <row r="47" spans="1:5" ht="12.75" customHeight="1">
      <c r="A47" s="43" t="s">
        <v>52</v>
      </c>
      <c r="B47" s="27">
        <f>SUM(B49+B48)</f>
        <v>0</v>
      </c>
      <c r="C47" s="27">
        <f>SUM(C49+C48)</f>
        <v>0</v>
      </c>
      <c r="D47" s="26" t="str">
        <f t="shared" si="0"/>
        <v>   </v>
      </c>
      <c r="E47" s="45">
        <f t="shared" si="1"/>
        <v>0</v>
      </c>
    </row>
    <row r="48" spans="1:5" ht="12.75" customHeight="1">
      <c r="A48" s="120" t="s">
        <v>200</v>
      </c>
      <c r="B48" s="27">
        <v>0</v>
      </c>
      <c r="C48" s="27">
        <v>0</v>
      </c>
      <c r="D48" s="26" t="str">
        <f>IF(B48=0,"   ",C48/B48*100)</f>
        <v>   </v>
      </c>
      <c r="E48" s="45">
        <f>C48-B48</f>
        <v>0</v>
      </c>
    </row>
    <row r="49" spans="1:5" ht="23.25" customHeight="1">
      <c r="A49" s="120" t="s">
        <v>166</v>
      </c>
      <c r="B49" s="25">
        <v>0</v>
      </c>
      <c r="C49" s="27">
        <v>0</v>
      </c>
      <c r="D49" s="26" t="str">
        <f t="shared" si="0"/>
        <v>   </v>
      </c>
      <c r="E49" s="45">
        <f t="shared" si="1"/>
        <v>0</v>
      </c>
    </row>
    <row r="50" spans="1:5" ht="21.75" customHeight="1">
      <c r="A50" s="16" t="s">
        <v>49</v>
      </c>
      <c r="B50" s="27">
        <f>SUM(B51)</f>
        <v>71300</v>
      </c>
      <c r="C50" s="27">
        <f>SUM(C51)</f>
        <v>40055.09</v>
      </c>
      <c r="D50" s="26">
        <f t="shared" si="0"/>
        <v>56.178246844319766</v>
      </c>
      <c r="E50" s="45">
        <f t="shared" si="1"/>
        <v>-31244.910000000003</v>
      </c>
    </row>
    <row r="51" spans="1:5" ht="13.5" customHeight="1">
      <c r="A51" s="41" t="s">
        <v>108</v>
      </c>
      <c r="B51" s="25">
        <v>71300</v>
      </c>
      <c r="C51" s="27">
        <v>40055.09</v>
      </c>
      <c r="D51" s="26">
        <f t="shared" si="0"/>
        <v>56.178246844319766</v>
      </c>
      <c r="E51" s="45">
        <f t="shared" si="1"/>
        <v>-31244.910000000003</v>
      </c>
    </row>
    <row r="52" spans="1:5" ht="16.5" customHeight="1">
      <c r="A52" s="16" t="s">
        <v>37</v>
      </c>
      <c r="B52" s="25">
        <f>SUM(B53)</f>
        <v>400</v>
      </c>
      <c r="C52" s="27">
        <f>SUM(C53)</f>
        <v>0</v>
      </c>
      <c r="D52" s="26">
        <f t="shared" si="0"/>
        <v>0</v>
      </c>
      <c r="E52" s="45">
        <f t="shared" si="1"/>
        <v>-400</v>
      </c>
    </row>
    <row r="53" spans="1:5" ht="15" customHeight="1">
      <c r="A53" s="87" t="s">
        <v>130</v>
      </c>
      <c r="B53" s="25">
        <v>400</v>
      </c>
      <c r="C53" s="27">
        <v>0</v>
      </c>
      <c r="D53" s="26">
        <f t="shared" si="0"/>
        <v>0</v>
      </c>
      <c r="E53" s="45">
        <f t="shared" si="1"/>
        <v>-400</v>
      </c>
    </row>
    <row r="54" spans="1:5" ht="18.75" customHeight="1">
      <c r="A54" s="16" t="s">
        <v>38</v>
      </c>
      <c r="B54" s="25">
        <f>SUM(B58,B55)</f>
        <v>791686</v>
      </c>
      <c r="C54" s="25">
        <f>SUM(C58,)</f>
        <v>359886</v>
      </c>
      <c r="D54" s="26">
        <f t="shared" si="0"/>
        <v>45.458174074064715</v>
      </c>
      <c r="E54" s="45">
        <f t="shared" si="1"/>
        <v>-431800</v>
      </c>
    </row>
    <row r="55" spans="1:5" ht="18.75" customHeight="1">
      <c r="A55" s="87" t="s">
        <v>180</v>
      </c>
      <c r="B55" s="25">
        <f>SUM(B56+B57)</f>
        <v>0</v>
      </c>
      <c r="C55" s="25">
        <f>SUM(C56+C57)</f>
        <v>0</v>
      </c>
      <c r="D55" s="26" t="str">
        <f>IF(B55=0,"   ",C55/B55*100)</f>
        <v>   </v>
      </c>
      <c r="E55" s="45">
        <f>C55-B55</f>
        <v>0</v>
      </c>
    </row>
    <row r="56" spans="1:5" ht="15" customHeight="1">
      <c r="A56" s="87" t="s">
        <v>181</v>
      </c>
      <c r="B56" s="25">
        <v>0</v>
      </c>
      <c r="C56" s="25">
        <v>0</v>
      </c>
      <c r="D56" s="26" t="str">
        <f>IF(B56=0,"   ",C56/B56*100)</f>
        <v>   </v>
      </c>
      <c r="E56" s="45">
        <f>C56-B56</f>
        <v>0</v>
      </c>
    </row>
    <row r="57" spans="1:5" ht="15" customHeight="1">
      <c r="A57" s="87" t="s">
        <v>238</v>
      </c>
      <c r="B57" s="25">
        <v>0</v>
      </c>
      <c r="C57" s="25">
        <v>0</v>
      </c>
      <c r="D57" s="26" t="str">
        <f>IF(B57=0,"   ",C57/B57*100)</f>
        <v>   </v>
      </c>
      <c r="E57" s="45">
        <f>C57-B57</f>
        <v>0</v>
      </c>
    </row>
    <row r="58" spans="1:5" ht="13.5" customHeight="1">
      <c r="A58" s="16" t="s">
        <v>39</v>
      </c>
      <c r="B58" s="25">
        <f>B59+B60+B61</f>
        <v>791686</v>
      </c>
      <c r="C58" s="25">
        <f>C59+C60+C61</f>
        <v>359886</v>
      </c>
      <c r="D58" s="26">
        <f t="shared" si="0"/>
        <v>45.458174074064715</v>
      </c>
      <c r="E58" s="45">
        <f t="shared" si="1"/>
        <v>-431800</v>
      </c>
    </row>
    <row r="59" spans="1:5" ht="17.25" customHeight="1">
      <c r="A59" s="87" t="s">
        <v>158</v>
      </c>
      <c r="B59" s="25">
        <v>164986</v>
      </c>
      <c r="C59" s="25">
        <v>105886</v>
      </c>
      <c r="D59" s="26">
        <f t="shared" si="0"/>
        <v>64.1787788054744</v>
      </c>
      <c r="E59" s="45">
        <f t="shared" si="1"/>
        <v>-59100</v>
      </c>
    </row>
    <row r="60" spans="1:5" ht="24" customHeight="1">
      <c r="A60" s="82" t="s">
        <v>135</v>
      </c>
      <c r="B60" s="25">
        <v>464200</v>
      </c>
      <c r="C60" s="25">
        <v>188138</v>
      </c>
      <c r="D60" s="26">
        <f t="shared" si="0"/>
        <v>40.529513140887545</v>
      </c>
      <c r="E60" s="45">
        <f t="shared" si="1"/>
        <v>-276062</v>
      </c>
    </row>
    <row r="61" spans="1:5" ht="26.25" customHeight="1">
      <c r="A61" s="82" t="s">
        <v>136</v>
      </c>
      <c r="B61" s="25">
        <v>162500</v>
      </c>
      <c r="C61" s="25">
        <v>65862</v>
      </c>
      <c r="D61" s="26">
        <f t="shared" si="0"/>
        <v>40.53046153846154</v>
      </c>
      <c r="E61" s="45">
        <f t="shared" si="1"/>
        <v>-96638</v>
      </c>
    </row>
    <row r="62" spans="1:5" ht="20.25" customHeight="1">
      <c r="A62" s="16" t="s">
        <v>13</v>
      </c>
      <c r="B62" s="25">
        <f>B64+B63</f>
        <v>627214</v>
      </c>
      <c r="C62" s="25">
        <f>C64+C63</f>
        <v>63869.14</v>
      </c>
      <c r="D62" s="26">
        <f t="shared" si="0"/>
        <v>10.182990175601947</v>
      </c>
      <c r="E62" s="45">
        <f t="shared" si="1"/>
        <v>-563344.86</v>
      </c>
    </row>
    <row r="63" spans="1:5" ht="20.25" customHeight="1">
      <c r="A63" s="43" t="s">
        <v>159</v>
      </c>
      <c r="B63" s="25">
        <v>0</v>
      </c>
      <c r="C63" s="25">
        <v>0</v>
      </c>
      <c r="D63" s="26" t="str">
        <f t="shared" si="0"/>
        <v>   </v>
      </c>
      <c r="E63" s="45">
        <f t="shared" si="1"/>
        <v>0</v>
      </c>
    </row>
    <row r="64" spans="1:5" ht="12.75" customHeight="1">
      <c r="A64" s="16" t="s">
        <v>100</v>
      </c>
      <c r="B64" s="25">
        <f>B65+B66+B71+B67</f>
        <v>627214</v>
      </c>
      <c r="C64" s="25">
        <f>C65+C66+C71+C67</f>
        <v>63869.14</v>
      </c>
      <c r="D64" s="26">
        <f t="shared" si="0"/>
        <v>10.182990175601947</v>
      </c>
      <c r="E64" s="45">
        <f t="shared" si="1"/>
        <v>-563344.86</v>
      </c>
    </row>
    <row r="65" spans="1:5" ht="12.75" customHeight="1">
      <c r="A65" s="16" t="s">
        <v>101</v>
      </c>
      <c r="B65" s="25">
        <v>210000</v>
      </c>
      <c r="C65" s="25">
        <v>63869.14</v>
      </c>
      <c r="D65" s="26">
        <f t="shared" si="0"/>
        <v>30.41387619047619</v>
      </c>
      <c r="E65" s="45">
        <f t="shared" si="1"/>
        <v>-146130.86</v>
      </c>
    </row>
    <row r="66" spans="1:5" ht="12.75" customHeight="1">
      <c r="A66" s="16" t="s">
        <v>61</v>
      </c>
      <c r="B66" s="25">
        <v>22214</v>
      </c>
      <c r="C66" s="27">
        <v>0</v>
      </c>
      <c r="D66" s="26">
        <v>0</v>
      </c>
      <c r="E66" s="45">
        <f t="shared" si="1"/>
        <v>-22214</v>
      </c>
    </row>
    <row r="67" spans="1:5" ht="12.75" customHeight="1">
      <c r="A67" s="120" t="s">
        <v>279</v>
      </c>
      <c r="B67" s="25">
        <f>SUM(B68:B70)</f>
        <v>395000</v>
      </c>
      <c r="C67" s="25">
        <f>SUM(C68:C70)</f>
        <v>0</v>
      </c>
      <c r="D67" s="26">
        <v>0</v>
      </c>
      <c r="E67" s="45">
        <f>C67-B67</f>
        <v>-395000</v>
      </c>
    </row>
    <row r="68" spans="1:5" ht="29.25" customHeight="1">
      <c r="A68" s="120" t="s">
        <v>280</v>
      </c>
      <c r="B68" s="25">
        <v>237000</v>
      </c>
      <c r="C68" s="27">
        <v>0</v>
      </c>
      <c r="D68" s="26"/>
      <c r="E68" s="27">
        <f t="shared" si="1"/>
        <v>-237000</v>
      </c>
    </row>
    <row r="69" spans="1:5" ht="25.5" customHeight="1">
      <c r="A69" s="120" t="s">
        <v>281</v>
      </c>
      <c r="B69" s="25">
        <v>88000</v>
      </c>
      <c r="C69" s="27">
        <v>0</v>
      </c>
      <c r="D69" s="26"/>
      <c r="E69" s="27">
        <f t="shared" si="1"/>
        <v>-88000</v>
      </c>
    </row>
    <row r="70" spans="1:5" ht="23.25" customHeight="1">
      <c r="A70" s="120" t="s">
        <v>282</v>
      </c>
      <c r="B70" s="25">
        <v>70000</v>
      </c>
      <c r="C70" s="27">
        <v>0</v>
      </c>
      <c r="D70" s="26"/>
      <c r="E70" s="27">
        <f t="shared" si="1"/>
        <v>-70000</v>
      </c>
    </row>
    <row r="71" spans="1:5" ht="29.25" customHeight="1">
      <c r="A71" s="120" t="s">
        <v>182</v>
      </c>
      <c r="B71" s="138">
        <v>0</v>
      </c>
      <c r="C71" s="139">
        <v>0</v>
      </c>
      <c r="D71" s="140" t="str">
        <f>IF(B71=0,"   ",C71/B71*100)</f>
        <v>   </v>
      </c>
      <c r="E71" s="141">
        <f t="shared" si="1"/>
        <v>0</v>
      </c>
    </row>
    <row r="72" spans="1:5" ht="20.25" customHeight="1">
      <c r="A72" s="35" t="s">
        <v>17</v>
      </c>
      <c r="B72" s="31">
        <v>8000</v>
      </c>
      <c r="C72" s="31">
        <v>0</v>
      </c>
      <c r="D72" s="26">
        <f t="shared" si="0"/>
        <v>0</v>
      </c>
      <c r="E72" s="45">
        <f t="shared" si="1"/>
        <v>-8000</v>
      </c>
    </row>
    <row r="73" spans="1:5" ht="18" customHeight="1">
      <c r="A73" s="16" t="s">
        <v>41</v>
      </c>
      <c r="B73" s="24">
        <f>B74</f>
        <v>793600</v>
      </c>
      <c r="C73" s="24">
        <f>C74</f>
        <v>400050</v>
      </c>
      <c r="D73" s="26">
        <f t="shared" si="0"/>
        <v>50.40952620967742</v>
      </c>
      <c r="E73" s="45">
        <f t="shared" si="1"/>
        <v>-393550</v>
      </c>
    </row>
    <row r="74" spans="1:5" ht="12.75" customHeight="1">
      <c r="A74" s="16" t="s">
        <v>42</v>
      </c>
      <c r="B74" s="25">
        <v>793600</v>
      </c>
      <c r="C74" s="27">
        <v>400050</v>
      </c>
      <c r="D74" s="26">
        <f t="shared" si="0"/>
        <v>50.40952620967742</v>
      </c>
      <c r="E74" s="45">
        <f t="shared" si="1"/>
        <v>-393550</v>
      </c>
    </row>
    <row r="75" spans="1:5" ht="16.5" customHeight="1">
      <c r="A75" s="16" t="s">
        <v>125</v>
      </c>
      <c r="B75" s="25">
        <f>SUM(B76,)</f>
        <v>12000</v>
      </c>
      <c r="C75" s="25">
        <f>SUM(C76,)</f>
        <v>0</v>
      </c>
      <c r="D75" s="26">
        <f t="shared" si="0"/>
        <v>0</v>
      </c>
      <c r="E75" s="45">
        <f t="shared" si="1"/>
        <v>-12000</v>
      </c>
    </row>
    <row r="76" spans="1:5" ht="13.5" customHeight="1">
      <c r="A76" s="16" t="s">
        <v>43</v>
      </c>
      <c r="B76" s="25">
        <v>12000</v>
      </c>
      <c r="C76" s="28">
        <v>0</v>
      </c>
      <c r="D76" s="26">
        <f t="shared" si="0"/>
        <v>0</v>
      </c>
      <c r="E76" s="45">
        <f t="shared" si="1"/>
        <v>-12000</v>
      </c>
    </row>
    <row r="77" spans="1:5" ht="22.5" customHeight="1">
      <c r="A77" s="193" t="s">
        <v>15</v>
      </c>
      <c r="B77" s="24">
        <f>SUM(B43,B50,B52,B54,B62,B72,B73,B75,)</f>
        <v>3350600</v>
      </c>
      <c r="C77" s="24">
        <f>SUM(C43,C50,C52,C54,C62,C72,C73,C75,)</f>
        <v>1368256.07</v>
      </c>
      <c r="D77" s="26">
        <f>IF(B77=0,"   ",C77/B77*100)</f>
        <v>40.83615083865577</v>
      </c>
      <c r="E77" s="45">
        <f t="shared" si="1"/>
        <v>-1982343.93</v>
      </c>
    </row>
    <row r="78" spans="1:5" s="69" customFormat="1" ht="23.25" customHeight="1">
      <c r="A78" s="92" t="s">
        <v>176</v>
      </c>
      <c r="B78" s="92"/>
      <c r="C78" s="244"/>
      <c r="D78" s="244"/>
      <c r="E78" s="244"/>
    </row>
    <row r="79" spans="1:5" s="69" customFormat="1" ht="18" customHeight="1">
      <c r="A79" s="92" t="s">
        <v>165</v>
      </c>
      <c r="B79" s="92"/>
      <c r="C79" s="93" t="s">
        <v>177</v>
      </c>
      <c r="D79" s="94"/>
      <c r="E79" s="95"/>
    </row>
    <row r="80" spans="1:5" ht="12.75">
      <c r="A80" s="7"/>
      <c r="B80" s="7"/>
      <c r="C80" s="6"/>
      <c r="D80" s="7"/>
      <c r="E80" s="2"/>
    </row>
    <row r="81" spans="1:5" ht="12.75">
      <c r="A81" s="7"/>
      <c r="B81" s="7"/>
      <c r="C81" s="6"/>
      <c r="D81" s="7"/>
      <c r="E81" s="2"/>
    </row>
    <row r="82" spans="1:5" ht="12.75">
      <c r="A82" s="7"/>
      <c r="B82" s="7"/>
      <c r="C82" s="6"/>
      <c r="D82" s="7"/>
      <c r="E82" s="2"/>
    </row>
    <row r="83" spans="1:5" ht="12.75">
      <c r="A83" s="7"/>
      <c r="B83" s="7"/>
      <c r="C83" s="6"/>
      <c r="D83" s="7"/>
      <c r="E83" s="2"/>
    </row>
  </sheetData>
  <sheetProtection/>
  <mergeCells count="2">
    <mergeCell ref="A1:E1"/>
    <mergeCell ref="C78:E78"/>
  </mergeCells>
  <printOptions/>
  <pageMargins left="0.984251968503937" right="0.5905511811023623" top="0.5118110236220472" bottom="0.5118110236220472" header="0.5118110236220472" footer="0.5118110236220472"/>
  <pageSetup fitToHeight="2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0"/>
  <sheetViews>
    <sheetView zoomScalePageLayoutView="0" workbookViewId="0" topLeftCell="A16">
      <selection activeCell="C34" sqref="C34"/>
    </sheetView>
  </sheetViews>
  <sheetFormatPr defaultColWidth="9.00390625" defaultRowHeight="12.75"/>
  <cols>
    <col min="1" max="1" width="107.75390625" style="0" customWidth="1"/>
    <col min="2" max="2" width="14.375" style="0" customWidth="1"/>
    <col min="3" max="3" width="16.875" style="0" customWidth="1"/>
    <col min="4" max="4" width="18.00390625" style="0" customWidth="1"/>
    <col min="5" max="5" width="16.25390625" style="0" customWidth="1"/>
  </cols>
  <sheetData>
    <row r="1" spans="1:5" ht="18">
      <c r="A1" s="246" t="s">
        <v>304</v>
      </c>
      <c r="B1" s="246"/>
      <c r="C1" s="246"/>
      <c r="D1" s="246"/>
      <c r="E1" s="246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2.25" customHeight="1">
      <c r="A4" s="34" t="s">
        <v>1</v>
      </c>
      <c r="B4" s="19" t="s">
        <v>255</v>
      </c>
      <c r="C4" s="32" t="s">
        <v>301</v>
      </c>
      <c r="D4" s="19" t="s">
        <v>258</v>
      </c>
      <c r="E4" s="36" t="s">
        <v>257</v>
      </c>
    </row>
    <row r="5" spans="1:5" ht="12.75">
      <c r="A5" s="13">
        <v>1</v>
      </c>
      <c r="B5" s="85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69" t="s">
        <v>45</v>
      </c>
      <c r="B7" s="166">
        <f>SUM(B8)</f>
        <v>53300</v>
      </c>
      <c r="C7" s="166">
        <f>SUM(C8)</f>
        <v>26836.65</v>
      </c>
      <c r="D7" s="156">
        <f aca="true" t="shared" si="0" ref="D7:D79">IF(B7=0,"   ",C7/B7*100)</f>
        <v>50.35018761726079</v>
      </c>
      <c r="E7" s="157">
        <f aca="true" t="shared" si="1" ref="E7:E80">C7-B7</f>
        <v>-26463.35</v>
      </c>
    </row>
    <row r="8" spans="1:5" ht="18" customHeight="1">
      <c r="A8" s="97" t="s">
        <v>44</v>
      </c>
      <c r="B8" s="96">
        <v>53300</v>
      </c>
      <c r="C8" s="170">
        <v>26836.65</v>
      </c>
      <c r="D8" s="156">
        <f t="shared" si="0"/>
        <v>50.35018761726079</v>
      </c>
      <c r="E8" s="157">
        <f t="shared" si="1"/>
        <v>-26463.35</v>
      </c>
    </row>
    <row r="9" spans="1:5" ht="16.5" customHeight="1">
      <c r="A9" s="169" t="s">
        <v>144</v>
      </c>
      <c r="B9" s="166">
        <f>SUM(B10)</f>
        <v>687400</v>
      </c>
      <c r="C9" s="166">
        <f>SUM(C10)</f>
        <v>400721.03</v>
      </c>
      <c r="D9" s="156">
        <f t="shared" si="0"/>
        <v>58.295174570846676</v>
      </c>
      <c r="E9" s="157">
        <f t="shared" si="1"/>
        <v>-286678.97</v>
      </c>
    </row>
    <row r="10" spans="1:5" ht="18" customHeight="1">
      <c r="A10" s="97" t="s">
        <v>145</v>
      </c>
      <c r="B10" s="96">
        <v>687400</v>
      </c>
      <c r="C10" s="170">
        <v>400721.03</v>
      </c>
      <c r="D10" s="156">
        <f t="shared" si="0"/>
        <v>58.295174570846676</v>
      </c>
      <c r="E10" s="157">
        <f t="shared" si="1"/>
        <v>-286678.97</v>
      </c>
    </row>
    <row r="11" spans="1:5" ht="12.75">
      <c r="A11" s="97" t="s">
        <v>7</v>
      </c>
      <c r="B11" s="96">
        <f>SUM(B12:B12)</f>
        <v>82600</v>
      </c>
      <c r="C11" s="96">
        <f>SUM(C12:C12)</f>
        <v>63583.8</v>
      </c>
      <c r="D11" s="156">
        <f t="shared" si="0"/>
        <v>76.97796610169492</v>
      </c>
      <c r="E11" s="157">
        <f t="shared" si="1"/>
        <v>-19016.199999999997</v>
      </c>
    </row>
    <row r="12" spans="1:5" ht="16.5" customHeight="1">
      <c r="A12" s="97" t="s">
        <v>26</v>
      </c>
      <c r="B12" s="96">
        <v>82600</v>
      </c>
      <c r="C12" s="170">
        <v>63583.8</v>
      </c>
      <c r="D12" s="156">
        <f t="shared" si="0"/>
        <v>76.97796610169492</v>
      </c>
      <c r="E12" s="157">
        <f t="shared" si="1"/>
        <v>-19016.199999999997</v>
      </c>
    </row>
    <row r="13" spans="1:5" ht="16.5" customHeight="1">
      <c r="A13" s="97" t="s">
        <v>9</v>
      </c>
      <c r="B13" s="96">
        <f>SUM(B14:B15)</f>
        <v>675000</v>
      </c>
      <c r="C13" s="96">
        <f>SUM(C14:C15)</f>
        <v>33370.18</v>
      </c>
      <c r="D13" s="156">
        <f t="shared" si="0"/>
        <v>4.94373037037037</v>
      </c>
      <c r="E13" s="157">
        <f t="shared" si="1"/>
        <v>-641629.82</v>
      </c>
    </row>
    <row r="14" spans="1:5" ht="15" customHeight="1">
      <c r="A14" s="97" t="s">
        <v>27</v>
      </c>
      <c r="B14" s="96">
        <v>177000</v>
      </c>
      <c r="C14" s="170">
        <v>-2833.67</v>
      </c>
      <c r="D14" s="156">
        <f t="shared" si="0"/>
        <v>-1.6009435028248586</v>
      </c>
      <c r="E14" s="157">
        <f t="shared" si="1"/>
        <v>-179833.67</v>
      </c>
    </row>
    <row r="15" spans="1:5" ht="15.75" customHeight="1">
      <c r="A15" s="43" t="s">
        <v>173</v>
      </c>
      <c r="B15" s="31">
        <f>SUM(B16:B17)</f>
        <v>498000</v>
      </c>
      <c r="C15" s="31">
        <f>SUM(C16:C17)</f>
        <v>36203.85</v>
      </c>
      <c r="D15" s="156">
        <f t="shared" si="0"/>
        <v>7.269849397590361</v>
      </c>
      <c r="E15" s="157">
        <f t="shared" si="1"/>
        <v>-461796.15</v>
      </c>
    </row>
    <row r="16" spans="1:5" ht="14.25" customHeight="1">
      <c r="A16" s="43" t="s">
        <v>174</v>
      </c>
      <c r="B16" s="31">
        <v>37300</v>
      </c>
      <c r="C16" s="79">
        <v>11694.78</v>
      </c>
      <c r="D16" s="156">
        <f t="shared" si="0"/>
        <v>31.35329758713137</v>
      </c>
      <c r="E16" s="157">
        <f t="shared" si="1"/>
        <v>-25605.22</v>
      </c>
    </row>
    <row r="17" spans="1:5" ht="12.75" customHeight="1">
      <c r="A17" s="43" t="s">
        <v>175</v>
      </c>
      <c r="B17" s="31">
        <v>460700</v>
      </c>
      <c r="C17" s="79">
        <v>24509.07</v>
      </c>
      <c r="D17" s="156">
        <f t="shared" si="0"/>
        <v>5.319963099630996</v>
      </c>
      <c r="E17" s="157">
        <f t="shared" si="1"/>
        <v>-436190.93</v>
      </c>
    </row>
    <row r="18" spans="1:5" ht="12.75" customHeight="1">
      <c r="A18" s="43" t="s">
        <v>264</v>
      </c>
      <c r="B18" s="31">
        <v>3000</v>
      </c>
      <c r="C18" s="79">
        <v>4680</v>
      </c>
      <c r="D18" s="156">
        <f t="shared" si="0"/>
        <v>156</v>
      </c>
      <c r="E18" s="157">
        <f t="shared" si="1"/>
        <v>1680</v>
      </c>
    </row>
    <row r="19" spans="1:5" ht="13.5" customHeight="1">
      <c r="A19" s="97" t="s">
        <v>88</v>
      </c>
      <c r="B19" s="96">
        <v>0</v>
      </c>
      <c r="C19" s="170">
        <v>0</v>
      </c>
      <c r="D19" s="156" t="str">
        <f t="shared" si="0"/>
        <v>   </v>
      </c>
      <c r="E19" s="157">
        <f t="shared" si="1"/>
        <v>0</v>
      </c>
    </row>
    <row r="20" spans="1:5" ht="30" customHeight="1">
      <c r="A20" s="97" t="s">
        <v>28</v>
      </c>
      <c r="B20" s="96">
        <f>B21+B22</f>
        <v>51400</v>
      </c>
      <c r="C20" s="96">
        <f>SUM(C21:C22)</f>
        <v>8043</v>
      </c>
      <c r="D20" s="156">
        <f t="shared" si="0"/>
        <v>15.64785992217899</v>
      </c>
      <c r="E20" s="157">
        <f t="shared" si="1"/>
        <v>-43357</v>
      </c>
    </row>
    <row r="21" spans="1:5" ht="14.25" customHeight="1">
      <c r="A21" s="43" t="s">
        <v>163</v>
      </c>
      <c r="B21" s="96">
        <v>51400</v>
      </c>
      <c r="C21" s="96">
        <v>8043</v>
      </c>
      <c r="D21" s="156">
        <f t="shared" si="0"/>
        <v>15.64785992217899</v>
      </c>
      <c r="E21" s="157">
        <f t="shared" si="1"/>
        <v>-43357</v>
      </c>
    </row>
    <row r="22" spans="1:5" ht="12" customHeight="1">
      <c r="A22" s="97" t="s">
        <v>30</v>
      </c>
      <c r="B22" s="96">
        <v>0</v>
      </c>
      <c r="C22" s="170">
        <v>0</v>
      </c>
      <c r="D22" s="156" t="str">
        <f t="shared" si="0"/>
        <v>   </v>
      </c>
      <c r="E22" s="157">
        <f t="shared" si="1"/>
        <v>0</v>
      </c>
    </row>
    <row r="23" spans="1:5" ht="12.75" customHeight="1">
      <c r="A23" s="97" t="s">
        <v>83</v>
      </c>
      <c r="B23" s="96">
        <v>0</v>
      </c>
      <c r="C23" s="170">
        <v>0</v>
      </c>
      <c r="D23" s="156" t="str">
        <f t="shared" si="0"/>
        <v>   </v>
      </c>
      <c r="E23" s="157">
        <f t="shared" si="1"/>
        <v>0</v>
      </c>
    </row>
    <row r="24" spans="1:5" ht="13.5" customHeight="1">
      <c r="A24" s="97" t="s">
        <v>78</v>
      </c>
      <c r="B24" s="96">
        <f>SUM(B25:B25)</f>
        <v>0</v>
      </c>
      <c r="C24" s="96">
        <f>SUM(C25:C25)</f>
        <v>0</v>
      </c>
      <c r="D24" s="156" t="str">
        <f t="shared" si="0"/>
        <v>   </v>
      </c>
      <c r="E24" s="157">
        <f t="shared" si="1"/>
        <v>0</v>
      </c>
    </row>
    <row r="25" spans="1:5" ht="13.5" customHeight="1">
      <c r="A25" s="97" t="s">
        <v>127</v>
      </c>
      <c r="B25" s="96">
        <v>0</v>
      </c>
      <c r="C25" s="96"/>
      <c r="D25" s="156" t="str">
        <f t="shared" si="0"/>
        <v>   </v>
      </c>
      <c r="E25" s="157"/>
    </row>
    <row r="26" spans="1:5" ht="12.75">
      <c r="A26" s="97" t="s">
        <v>32</v>
      </c>
      <c r="B26" s="96">
        <f>B28+B27</f>
        <v>0</v>
      </c>
      <c r="C26" s="96">
        <f>C28+C27</f>
        <v>0</v>
      </c>
      <c r="D26" s="156" t="str">
        <f t="shared" si="0"/>
        <v>   </v>
      </c>
      <c r="E26" s="157">
        <f t="shared" si="1"/>
        <v>0</v>
      </c>
    </row>
    <row r="27" spans="1:5" ht="12.75">
      <c r="A27" s="97" t="s">
        <v>183</v>
      </c>
      <c r="B27" s="96">
        <v>0</v>
      </c>
      <c r="C27" s="96">
        <v>0</v>
      </c>
      <c r="D27" s="156"/>
      <c r="E27" s="157"/>
    </row>
    <row r="28" spans="1:5" ht="12.75">
      <c r="A28" s="97" t="s">
        <v>50</v>
      </c>
      <c r="B28" s="96">
        <v>0</v>
      </c>
      <c r="C28" s="96">
        <v>0</v>
      </c>
      <c r="D28" s="156" t="str">
        <f t="shared" si="0"/>
        <v>   </v>
      </c>
      <c r="E28" s="157">
        <f t="shared" si="1"/>
        <v>0</v>
      </c>
    </row>
    <row r="29" spans="1:5" ht="12.75">
      <c r="A29" s="97" t="s">
        <v>31</v>
      </c>
      <c r="B29" s="96">
        <v>0</v>
      </c>
      <c r="C29" s="96">
        <v>0</v>
      </c>
      <c r="D29" s="156" t="str">
        <f t="shared" si="0"/>
        <v>   </v>
      </c>
      <c r="E29" s="157">
        <f t="shared" si="1"/>
        <v>0</v>
      </c>
    </row>
    <row r="30" spans="1:5" ht="18" customHeight="1">
      <c r="A30" s="176" t="s">
        <v>10</v>
      </c>
      <c r="B30" s="195">
        <f>B7+B9+B11+B13+B19+B20+B24+B26+B29+B18</f>
        <v>1552700</v>
      </c>
      <c r="C30" s="195">
        <f>C7+C9+C11+C13+C19+C20+C24+C26+C29+C18</f>
        <v>537234.66</v>
      </c>
      <c r="D30" s="158">
        <f t="shared" si="0"/>
        <v>34.6000296258131</v>
      </c>
      <c r="E30" s="159">
        <f t="shared" si="1"/>
        <v>-1015465.34</v>
      </c>
    </row>
    <row r="31" spans="1:5" ht="18" customHeight="1">
      <c r="A31" s="177" t="s">
        <v>147</v>
      </c>
      <c r="B31" s="215">
        <f>SUM(B32:B34,B37,B40,B41)</f>
        <v>3860305.2</v>
      </c>
      <c r="C31" s="215">
        <f>SUM(C32:C34,C37,C40,C41)</f>
        <v>1949723.2999999998</v>
      </c>
      <c r="D31" s="158">
        <f t="shared" si="0"/>
        <v>50.50697286836283</v>
      </c>
      <c r="E31" s="159">
        <f t="shared" si="1"/>
        <v>-1910581.9000000004</v>
      </c>
    </row>
    <row r="32" spans="1:5" ht="16.5" customHeight="1">
      <c r="A32" s="178" t="s">
        <v>34</v>
      </c>
      <c r="B32" s="179">
        <v>2414400</v>
      </c>
      <c r="C32" s="179">
        <v>1207200</v>
      </c>
      <c r="D32" s="173">
        <f t="shared" si="0"/>
        <v>50</v>
      </c>
      <c r="E32" s="174">
        <f t="shared" si="1"/>
        <v>-1207200</v>
      </c>
    </row>
    <row r="33" spans="1:5" ht="27" customHeight="1">
      <c r="A33" s="175" t="s">
        <v>51</v>
      </c>
      <c r="B33" s="171">
        <v>142500</v>
      </c>
      <c r="C33" s="171">
        <v>91900</v>
      </c>
      <c r="D33" s="173">
        <f t="shared" si="0"/>
        <v>64.49122807017544</v>
      </c>
      <c r="E33" s="174">
        <f t="shared" si="1"/>
        <v>-50600</v>
      </c>
    </row>
    <row r="34" spans="1:5" ht="27" customHeight="1">
      <c r="A34" s="175" t="s">
        <v>157</v>
      </c>
      <c r="B34" s="171">
        <f>SUM(B35:B36)</f>
        <v>1400</v>
      </c>
      <c r="C34" s="171">
        <f>SUM(C35:C36)</f>
        <v>200</v>
      </c>
      <c r="D34" s="173">
        <f t="shared" si="0"/>
        <v>14.285714285714285</v>
      </c>
      <c r="E34" s="174">
        <f t="shared" si="1"/>
        <v>-1200</v>
      </c>
    </row>
    <row r="35" spans="1:5" ht="17.25" customHeight="1">
      <c r="A35" s="124" t="s">
        <v>178</v>
      </c>
      <c r="B35" s="171">
        <v>200</v>
      </c>
      <c r="C35" s="171">
        <v>200</v>
      </c>
      <c r="D35" s="173">
        <f t="shared" si="0"/>
        <v>100</v>
      </c>
      <c r="E35" s="174">
        <f t="shared" si="1"/>
        <v>0</v>
      </c>
    </row>
    <row r="36" spans="1:5" ht="27" customHeight="1">
      <c r="A36" s="124" t="s">
        <v>179</v>
      </c>
      <c r="B36" s="171">
        <v>1200</v>
      </c>
      <c r="C36" s="171">
        <v>0</v>
      </c>
      <c r="D36" s="173">
        <f>IF(B36=0,"   ",C36/B36*100)</f>
        <v>0</v>
      </c>
      <c r="E36" s="174">
        <f>C36-B36</f>
        <v>-1200</v>
      </c>
    </row>
    <row r="37" spans="1:5" ht="17.25" customHeight="1">
      <c r="A37" s="175" t="s">
        <v>55</v>
      </c>
      <c r="B37" s="171">
        <f>B38+B39</f>
        <v>898365.6</v>
      </c>
      <c r="C37" s="171">
        <f>C38+C39</f>
        <v>586179.4</v>
      </c>
      <c r="D37" s="173">
        <f t="shared" si="0"/>
        <v>65.24953760473464</v>
      </c>
      <c r="E37" s="174">
        <f t="shared" si="1"/>
        <v>-312186.19999999995</v>
      </c>
    </row>
    <row r="38" spans="1:5" s="7" customFormat="1" ht="14.25" customHeight="1">
      <c r="A38" s="56" t="s">
        <v>110</v>
      </c>
      <c r="B38" s="57">
        <v>512900</v>
      </c>
      <c r="C38" s="171">
        <v>200716</v>
      </c>
      <c r="D38" s="57">
        <f t="shared" si="0"/>
        <v>39.13355429908364</v>
      </c>
      <c r="E38" s="196">
        <f t="shared" si="1"/>
        <v>-312184</v>
      </c>
    </row>
    <row r="39" spans="1:5" s="7" customFormat="1" ht="14.25" customHeight="1">
      <c r="A39" s="56" t="s">
        <v>235</v>
      </c>
      <c r="B39" s="57">
        <v>385465.6</v>
      </c>
      <c r="C39" s="171">
        <v>385463.4</v>
      </c>
      <c r="D39" s="57">
        <f t="shared" si="0"/>
        <v>99.99942926165137</v>
      </c>
      <c r="E39" s="196">
        <f t="shared" si="1"/>
        <v>-2.199999999953434</v>
      </c>
    </row>
    <row r="40" spans="1:5" ht="39" customHeight="1">
      <c r="A40" s="175" t="s">
        <v>104</v>
      </c>
      <c r="B40" s="171">
        <v>211664</v>
      </c>
      <c r="C40" s="171">
        <v>0</v>
      </c>
      <c r="D40" s="173">
        <f t="shared" si="0"/>
        <v>0</v>
      </c>
      <c r="E40" s="174">
        <f t="shared" si="1"/>
        <v>-211664</v>
      </c>
    </row>
    <row r="41" spans="1:5" ht="15.75" customHeight="1">
      <c r="A41" s="16" t="s">
        <v>267</v>
      </c>
      <c r="B41" s="171">
        <v>191975.6</v>
      </c>
      <c r="C41" s="171">
        <v>64243.9</v>
      </c>
      <c r="D41" s="173">
        <f t="shared" si="0"/>
        <v>33.46461737845851</v>
      </c>
      <c r="E41" s="174">
        <f t="shared" si="1"/>
        <v>-127731.70000000001</v>
      </c>
    </row>
    <row r="42" spans="1:5" ht="16.5" customHeight="1">
      <c r="A42" s="176" t="s">
        <v>11</v>
      </c>
      <c r="B42" s="168">
        <f>SUM(B30,B31,)</f>
        <v>5413005.2</v>
      </c>
      <c r="C42" s="168">
        <f>SUM(C30,C31,)</f>
        <v>2486957.96</v>
      </c>
      <c r="D42" s="158">
        <f t="shared" si="0"/>
        <v>45.944126563927924</v>
      </c>
      <c r="E42" s="159">
        <f t="shared" si="1"/>
        <v>-2926047.24</v>
      </c>
    </row>
    <row r="43" spans="1:5" ht="20.25" customHeight="1">
      <c r="A43" s="30"/>
      <c r="B43" s="179"/>
      <c r="C43" s="171"/>
      <c r="D43" s="173" t="str">
        <f t="shared" si="0"/>
        <v>   </v>
      </c>
      <c r="E43" s="174">
        <f t="shared" si="1"/>
        <v>0</v>
      </c>
    </row>
    <row r="44" spans="1:5" ht="12.75">
      <c r="A44" s="180" t="s">
        <v>12</v>
      </c>
      <c r="B44" s="168"/>
      <c r="C44" s="181"/>
      <c r="D44" s="173" t="str">
        <f t="shared" si="0"/>
        <v>   </v>
      </c>
      <c r="E44" s="174">
        <f t="shared" si="1"/>
        <v>0</v>
      </c>
    </row>
    <row r="45" spans="1:5" ht="19.5" customHeight="1">
      <c r="A45" s="175" t="s">
        <v>35</v>
      </c>
      <c r="B45" s="171">
        <f>SUM(B46,B48,B49)</f>
        <v>1287264</v>
      </c>
      <c r="C45" s="171">
        <f>SUM(C46,C48,C49)</f>
        <v>442455.45</v>
      </c>
      <c r="D45" s="173">
        <f t="shared" si="0"/>
        <v>34.37177222387949</v>
      </c>
      <c r="E45" s="174">
        <f t="shared" si="1"/>
        <v>-844808.55</v>
      </c>
    </row>
    <row r="46" spans="1:5" ht="13.5" customHeight="1">
      <c r="A46" s="175" t="s">
        <v>36</v>
      </c>
      <c r="B46" s="171">
        <v>1075100</v>
      </c>
      <c r="C46" s="171">
        <v>442455.45</v>
      </c>
      <c r="D46" s="173">
        <f t="shared" si="0"/>
        <v>41.15481815645056</v>
      </c>
      <c r="E46" s="174">
        <f t="shared" si="1"/>
        <v>-632644.55</v>
      </c>
    </row>
    <row r="47" spans="1:5" ht="12.75">
      <c r="A47" s="175" t="s">
        <v>122</v>
      </c>
      <c r="B47" s="171">
        <v>704600</v>
      </c>
      <c r="C47" s="181">
        <v>316403.38</v>
      </c>
      <c r="D47" s="173">
        <f t="shared" si="0"/>
        <v>44.90539029236446</v>
      </c>
      <c r="E47" s="174">
        <f t="shared" si="1"/>
        <v>-388196.62</v>
      </c>
    </row>
    <row r="48" spans="1:5" ht="12.75">
      <c r="A48" s="175" t="s">
        <v>96</v>
      </c>
      <c r="B48" s="171">
        <v>500</v>
      </c>
      <c r="C48" s="172">
        <v>0</v>
      </c>
      <c r="D48" s="173">
        <f t="shared" si="0"/>
        <v>0</v>
      </c>
      <c r="E48" s="174">
        <f t="shared" si="1"/>
        <v>-500</v>
      </c>
    </row>
    <row r="49" spans="1:5" ht="12.75">
      <c r="A49" s="43" t="s">
        <v>52</v>
      </c>
      <c r="B49" s="172">
        <f>SUM(B50+B51)</f>
        <v>211664</v>
      </c>
      <c r="C49" s="172">
        <f>SUM(C50+C51)</f>
        <v>0</v>
      </c>
      <c r="D49" s="173">
        <f>IF(B49=0,"   ",C49/B49*100)</f>
        <v>0</v>
      </c>
      <c r="E49" s="174">
        <f>C49-B49</f>
        <v>-211664</v>
      </c>
    </row>
    <row r="50" spans="1:5" ht="25.5">
      <c r="A50" s="120" t="s">
        <v>166</v>
      </c>
      <c r="B50" s="171">
        <v>0</v>
      </c>
      <c r="C50" s="172">
        <v>0</v>
      </c>
      <c r="D50" s="173" t="str">
        <f>IF(B50=0,"   ",C50/B50*100)</f>
        <v>   </v>
      </c>
      <c r="E50" s="174">
        <f>C50-B50</f>
        <v>0</v>
      </c>
    </row>
    <row r="51" spans="1:5" ht="12.75">
      <c r="A51" s="120" t="s">
        <v>315</v>
      </c>
      <c r="B51" s="171">
        <v>211664</v>
      </c>
      <c r="C51" s="172"/>
      <c r="D51" s="173"/>
      <c r="E51" s="174"/>
    </row>
    <row r="52" spans="1:5" ht="18.75" customHeight="1">
      <c r="A52" s="175" t="s">
        <v>49</v>
      </c>
      <c r="B52" s="172">
        <f>SUM(B53)</f>
        <v>142500</v>
      </c>
      <c r="C52" s="172">
        <f>SUM(C53)</f>
        <v>73500</v>
      </c>
      <c r="D52" s="173">
        <f t="shared" si="0"/>
        <v>51.578947368421055</v>
      </c>
      <c r="E52" s="174">
        <f t="shared" si="1"/>
        <v>-69000</v>
      </c>
    </row>
    <row r="53" spans="1:5" ht="13.5" customHeight="1">
      <c r="A53" s="56" t="s">
        <v>108</v>
      </c>
      <c r="B53" s="171">
        <v>142500</v>
      </c>
      <c r="C53" s="172">
        <v>73500</v>
      </c>
      <c r="D53" s="173">
        <f t="shared" si="0"/>
        <v>51.578947368421055</v>
      </c>
      <c r="E53" s="174">
        <f t="shared" si="1"/>
        <v>-69000</v>
      </c>
    </row>
    <row r="54" spans="1:5" ht="17.25" customHeight="1">
      <c r="A54" s="175" t="s">
        <v>37</v>
      </c>
      <c r="B54" s="171">
        <f>SUM(B55)</f>
        <v>400</v>
      </c>
      <c r="C54" s="171">
        <f>SUM(C55)</f>
        <v>0</v>
      </c>
      <c r="D54" s="173">
        <f t="shared" si="0"/>
        <v>0</v>
      </c>
      <c r="E54" s="174">
        <f t="shared" si="1"/>
        <v>-400</v>
      </c>
    </row>
    <row r="55" spans="1:5" ht="15" customHeight="1">
      <c r="A55" s="87" t="s">
        <v>130</v>
      </c>
      <c r="B55" s="171">
        <v>400</v>
      </c>
      <c r="C55" s="172">
        <v>0</v>
      </c>
      <c r="D55" s="173">
        <f t="shared" si="0"/>
        <v>0</v>
      </c>
      <c r="E55" s="174">
        <f t="shared" si="1"/>
        <v>-400</v>
      </c>
    </row>
    <row r="56" spans="1:5" ht="15.75" customHeight="1">
      <c r="A56" s="175" t="s">
        <v>38</v>
      </c>
      <c r="B56" s="171">
        <f>B60+B57</f>
        <v>693700</v>
      </c>
      <c r="C56" s="171">
        <f>C60+C57</f>
        <v>215451</v>
      </c>
      <c r="D56" s="173">
        <f t="shared" si="0"/>
        <v>31.058238431598674</v>
      </c>
      <c r="E56" s="174">
        <f t="shared" si="1"/>
        <v>-478249</v>
      </c>
    </row>
    <row r="57" spans="1:5" ht="15.75" customHeight="1">
      <c r="A57" s="87" t="s">
        <v>180</v>
      </c>
      <c r="B57" s="25">
        <f>SUM(B58+B59)</f>
        <v>1200</v>
      </c>
      <c r="C57" s="25">
        <f>SUM(C58+C59)</f>
        <v>0</v>
      </c>
      <c r="D57" s="173">
        <f>IF(B57=0,"   ",C57/B57*100)</f>
        <v>0</v>
      </c>
      <c r="E57" s="174">
        <f>C57-B57</f>
        <v>-1200</v>
      </c>
    </row>
    <row r="58" spans="1:5" ht="15.75" customHeight="1">
      <c r="A58" s="87" t="s">
        <v>181</v>
      </c>
      <c r="B58" s="25">
        <v>1200</v>
      </c>
      <c r="C58" s="171">
        <v>0</v>
      </c>
      <c r="D58" s="173">
        <f>IF(B58=0,"   ",C58/B58*100)</f>
        <v>0</v>
      </c>
      <c r="E58" s="174">
        <f>C58-B58</f>
        <v>-1200</v>
      </c>
    </row>
    <row r="59" spans="1:5" ht="15.75" customHeight="1">
      <c r="A59" s="87" t="s">
        <v>238</v>
      </c>
      <c r="B59" s="25">
        <v>0</v>
      </c>
      <c r="C59" s="171">
        <v>0</v>
      </c>
      <c r="D59" s="173"/>
      <c r="E59" s="174"/>
    </row>
    <row r="60" spans="1:5" ht="12.75">
      <c r="A60" s="183" t="s">
        <v>134</v>
      </c>
      <c r="B60" s="171">
        <f>B62+B63+B61</f>
        <v>692500</v>
      </c>
      <c r="C60" s="171">
        <f>C62+C63+C61</f>
        <v>215451</v>
      </c>
      <c r="D60" s="173">
        <f t="shared" si="0"/>
        <v>31.112057761732853</v>
      </c>
      <c r="E60" s="174">
        <f t="shared" si="1"/>
        <v>-477049</v>
      </c>
    </row>
    <row r="61" spans="1:5" ht="21.75" customHeight="1">
      <c r="A61" s="184" t="s">
        <v>158</v>
      </c>
      <c r="B61" s="171">
        <v>0</v>
      </c>
      <c r="C61" s="171">
        <v>0</v>
      </c>
      <c r="D61" s="173" t="str">
        <f t="shared" si="0"/>
        <v>   </v>
      </c>
      <c r="E61" s="174">
        <f t="shared" si="1"/>
        <v>0</v>
      </c>
    </row>
    <row r="62" spans="1:5" ht="22.5" customHeight="1">
      <c r="A62" s="182" t="s">
        <v>135</v>
      </c>
      <c r="B62" s="171">
        <v>512900</v>
      </c>
      <c r="C62" s="171">
        <v>145166</v>
      </c>
      <c r="D62" s="173">
        <f t="shared" si="0"/>
        <v>28.30298303762917</v>
      </c>
      <c r="E62" s="174">
        <f t="shared" si="1"/>
        <v>-367734</v>
      </c>
    </row>
    <row r="63" spans="1:5" ht="23.25" customHeight="1">
      <c r="A63" s="182" t="s">
        <v>136</v>
      </c>
      <c r="B63" s="171">
        <v>179600</v>
      </c>
      <c r="C63" s="171">
        <v>70285</v>
      </c>
      <c r="D63" s="173">
        <f t="shared" si="0"/>
        <v>39.13418708240535</v>
      </c>
      <c r="E63" s="174">
        <f t="shared" si="1"/>
        <v>-109315</v>
      </c>
    </row>
    <row r="64" spans="1:5" ht="17.25" customHeight="1">
      <c r="A64" s="175" t="s">
        <v>13</v>
      </c>
      <c r="B64" s="171">
        <f>SUM(B70,B65)</f>
        <v>1122341.2000000002</v>
      </c>
      <c r="C64" s="171">
        <f>C65+C70</f>
        <v>235607.6</v>
      </c>
      <c r="D64" s="173">
        <f t="shared" si="0"/>
        <v>20.992511011802826</v>
      </c>
      <c r="E64" s="174">
        <f t="shared" si="1"/>
        <v>-886733.6000000002</v>
      </c>
    </row>
    <row r="65" spans="1:5" ht="15.75" customHeight="1">
      <c r="A65" s="175" t="s">
        <v>91</v>
      </c>
      <c r="B65" s="171">
        <f>B66</f>
        <v>642441.2000000001</v>
      </c>
      <c r="C65" s="171">
        <f>C66</f>
        <v>0</v>
      </c>
      <c r="D65" s="173">
        <f t="shared" si="0"/>
        <v>0</v>
      </c>
      <c r="E65" s="174">
        <f t="shared" si="1"/>
        <v>-642441.2000000001</v>
      </c>
    </row>
    <row r="66" spans="1:5" ht="15.75" customHeight="1">
      <c r="A66" s="120" t="s">
        <v>277</v>
      </c>
      <c r="B66" s="171">
        <f>B68+B67+B69</f>
        <v>642441.2000000001</v>
      </c>
      <c r="C66" s="171">
        <f>C68+C67+C69</f>
        <v>0</v>
      </c>
      <c r="D66" s="173">
        <f>IF(B66=0,"   ",C66/B66*100)</f>
        <v>0</v>
      </c>
      <c r="E66" s="174">
        <f>C66-B66</f>
        <v>-642441.2000000001</v>
      </c>
    </row>
    <row r="67" spans="1:5" ht="27.75" customHeight="1">
      <c r="A67" s="120" t="s">
        <v>234</v>
      </c>
      <c r="B67" s="171">
        <v>385465.6</v>
      </c>
      <c r="C67" s="171">
        <v>0</v>
      </c>
      <c r="D67" s="173">
        <f t="shared" si="0"/>
        <v>0</v>
      </c>
      <c r="E67" s="174">
        <f t="shared" si="1"/>
        <v>-385465.6</v>
      </c>
    </row>
    <row r="68" spans="1:5" ht="27.75" customHeight="1">
      <c r="A68" s="120" t="s">
        <v>268</v>
      </c>
      <c r="B68" s="171">
        <v>192731.7</v>
      </c>
      <c r="C68" s="171">
        <v>0</v>
      </c>
      <c r="D68" s="173">
        <f t="shared" si="0"/>
        <v>0</v>
      </c>
      <c r="E68" s="174">
        <f t="shared" si="1"/>
        <v>-192731.7</v>
      </c>
    </row>
    <row r="69" spans="1:5" ht="27.75" customHeight="1">
      <c r="A69" s="120" t="s">
        <v>283</v>
      </c>
      <c r="B69" s="171">
        <v>64243.9</v>
      </c>
      <c r="C69" s="171">
        <v>0</v>
      </c>
      <c r="D69" s="173">
        <f t="shared" si="0"/>
        <v>0</v>
      </c>
      <c r="E69" s="174">
        <f t="shared" si="1"/>
        <v>-64243.9</v>
      </c>
    </row>
    <row r="70" spans="1:5" ht="12.75">
      <c r="A70" s="175" t="s">
        <v>58</v>
      </c>
      <c r="B70" s="171">
        <f>B71+B72+B73+B74</f>
        <v>479900</v>
      </c>
      <c r="C70" s="171">
        <f>C71+C72+C73+C74</f>
        <v>235607.6</v>
      </c>
      <c r="D70" s="173">
        <f t="shared" si="0"/>
        <v>49.095144821837884</v>
      </c>
      <c r="E70" s="174">
        <f t="shared" si="1"/>
        <v>-244292.4</v>
      </c>
    </row>
    <row r="71" spans="1:5" ht="12.75">
      <c r="A71" s="175" t="s">
        <v>56</v>
      </c>
      <c r="B71" s="171">
        <v>450000</v>
      </c>
      <c r="C71" s="171">
        <v>225400</v>
      </c>
      <c r="D71" s="173">
        <f t="shared" si="0"/>
        <v>50.088888888888896</v>
      </c>
      <c r="E71" s="174">
        <f t="shared" si="1"/>
        <v>-224600</v>
      </c>
    </row>
    <row r="72" spans="1:5" ht="12.75">
      <c r="A72" s="175" t="s">
        <v>59</v>
      </c>
      <c r="B72" s="171">
        <v>29900</v>
      </c>
      <c r="C72" s="172">
        <v>10207.6</v>
      </c>
      <c r="D72" s="173">
        <f t="shared" si="0"/>
        <v>34.13913043478261</v>
      </c>
      <c r="E72" s="174">
        <f t="shared" si="1"/>
        <v>-19692.4</v>
      </c>
    </row>
    <row r="73" spans="1:5" ht="25.5">
      <c r="A73" s="120" t="s">
        <v>182</v>
      </c>
      <c r="B73" s="171">
        <v>0</v>
      </c>
      <c r="C73" s="172">
        <v>0</v>
      </c>
      <c r="D73" s="173" t="str">
        <f t="shared" si="0"/>
        <v>   </v>
      </c>
      <c r="E73" s="174">
        <f t="shared" si="1"/>
        <v>0</v>
      </c>
    </row>
    <row r="74" spans="1:5" ht="12.75" customHeight="1">
      <c r="A74" s="16" t="s">
        <v>95</v>
      </c>
      <c r="B74" s="171">
        <v>0</v>
      </c>
      <c r="C74" s="172">
        <v>0</v>
      </c>
      <c r="D74" s="173" t="str">
        <f t="shared" si="0"/>
        <v>   </v>
      </c>
      <c r="E74" s="174">
        <f t="shared" si="1"/>
        <v>0</v>
      </c>
    </row>
    <row r="75" spans="1:5" ht="12.75" customHeight="1">
      <c r="A75" s="185" t="s">
        <v>17</v>
      </c>
      <c r="B75" s="186">
        <v>0</v>
      </c>
      <c r="C75" s="186">
        <v>0</v>
      </c>
      <c r="D75" s="187" t="str">
        <f t="shared" si="0"/>
        <v>   </v>
      </c>
      <c r="E75" s="188">
        <f t="shared" si="1"/>
        <v>0</v>
      </c>
    </row>
    <row r="76" spans="1:5" ht="19.5" customHeight="1">
      <c r="A76" s="189" t="s">
        <v>41</v>
      </c>
      <c r="B76" s="190">
        <f>B77</f>
        <v>2166800</v>
      </c>
      <c r="C76" s="190">
        <f>C77</f>
        <v>800900</v>
      </c>
      <c r="D76" s="187">
        <f t="shared" si="0"/>
        <v>36.962340779028985</v>
      </c>
      <c r="E76" s="188">
        <f t="shared" si="1"/>
        <v>-1365900</v>
      </c>
    </row>
    <row r="77" spans="1:5" ht="15" customHeight="1">
      <c r="A77" s="189" t="s">
        <v>42</v>
      </c>
      <c r="B77" s="186">
        <v>2166800</v>
      </c>
      <c r="C77" s="191">
        <v>800900</v>
      </c>
      <c r="D77" s="187">
        <f t="shared" si="0"/>
        <v>36.962340779028985</v>
      </c>
      <c r="E77" s="188">
        <f t="shared" si="1"/>
        <v>-1365900</v>
      </c>
    </row>
    <row r="78" spans="1:5" ht="14.25" customHeight="1">
      <c r="A78" s="189" t="s">
        <v>125</v>
      </c>
      <c r="B78" s="186">
        <f>SUM(B79,)</f>
        <v>0</v>
      </c>
      <c r="C78" s="186">
        <f>SUM(C79,)</f>
        <v>0</v>
      </c>
      <c r="D78" s="187" t="str">
        <f t="shared" si="0"/>
        <v>   </v>
      </c>
      <c r="E78" s="188">
        <f t="shared" si="1"/>
        <v>0</v>
      </c>
    </row>
    <row r="79" spans="1:5" ht="12.75">
      <c r="A79" s="189" t="s">
        <v>43</v>
      </c>
      <c r="B79" s="186">
        <v>0</v>
      </c>
      <c r="C79" s="192">
        <v>0</v>
      </c>
      <c r="D79" s="187" t="str">
        <f t="shared" si="0"/>
        <v>   </v>
      </c>
      <c r="E79" s="188">
        <f t="shared" si="1"/>
        <v>0</v>
      </c>
    </row>
    <row r="80" spans="1:5" ht="23.25" customHeight="1">
      <c r="A80" s="176" t="s">
        <v>15</v>
      </c>
      <c r="B80" s="168">
        <f>SUM(B45,B52,B54,B56,B64,B75,B76,B78,)</f>
        <v>5413005.2</v>
      </c>
      <c r="C80" s="168">
        <f>SUM(C45,C52,C54,C56,C64,C75,C76,C78,)</f>
        <v>1767914.0499999998</v>
      </c>
      <c r="D80" s="158">
        <f>IF(B80=0,"   ",C80/B80*100)</f>
        <v>32.66049051643253</v>
      </c>
      <c r="E80" s="159">
        <f t="shared" si="1"/>
        <v>-3645091.1500000004</v>
      </c>
    </row>
    <row r="81" spans="1:5" s="69" customFormat="1" ht="23.25" customHeight="1">
      <c r="A81" s="92" t="s">
        <v>176</v>
      </c>
      <c r="B81" s="92"/>
      <c r="C81" s="244"/>
      <c r="D81" s="244"/>
      <c r="E81" s="244"/>
    </row>
    <row r="82" spans="1:5" s="69" customFormat="1" ht="12" customHeight="1">
      <c r="A82" s="92" t="s">
        <v>165</v>
      </c>
      <c r="B82" s="92"/>
      <c r="C82" s="93" t="s">
        <v>177</v>
      </c>
      <c r="D82" s="94"/>
      <c r="E82" s="95"/>
    </row>
    <row r="83" spans="1:5" ht="12.75">
      <c r="A83" s="197"/>
      <c r="B83" s="197"/>
      <c r="C83" s="198"/>
      <c r="D83" s="197"/>
      <c r="E83" s="199"/>
    </row>
    <row r="84" spans="1:5" ht="12.75">
      <c r="A84" s="197"/>
      <c r="B84" s="197"/>
      <c r="C84" s="198"/>
      <c r="D84" s="197"/>
      <c r="E84" s="199"/>
    </row>
    <row r="85" spans="1:5" ht="12.75">
      <c r="A85" s="200"/>
      <c r="B85" s="200"/>
      <c r="C85" s="200"/>
      <c r="D85" s="200"/>
      <c r="E85" s="200"/>
    </row>
    <row r="86" spans="1:5" ht="12.75">
      <c r="A86" s="200"/>
      <c r="B86" s="200"/>
      <c r="C86" s="200"/>
      <c r="D86" s="200"/>
      <c r="E86" s="200"/>
    </row>
    <row r="87" spans="1:5" ht="12.75">
      <c r="A87" s="200"/>
      <c r="B87" s="200"/>
      <c r="C87" s="200"/>
      <c r="D87" s="200"/>
      <c r="E87" s="200"/>
    </row>
    <row r="88" spans="1:5" ht="12.75">
      <c r="A88" s="200"/>
      <c r="B88" s="200"/>
      <c r="C88" s="200"/>
      <c r="D88" s="200"/>
      <c r="E88" s="200"/>
    </row>
    <row r="89" spans="1:5" ht="12.75">
      <c r="A89" s="200"/>
      <c r="B89" s="200"/>
      <c r="C89" s="200"/>
      <c r="D89" s="200"/>
      <c r="E89" s="200"/>
    </row>
    <row r="90" spans="1:5" ht="12.75">
      <c r="A90" s="200"/>
      <c r="B90" s="200"/>
      <c r="C90" s="200"/>
      <c r="D90" s="200"/>
      <c r="E90" s="200"/>
    </row>
  </sheetData>
  <sheetProtection/>
  <mergeCells count="2">
    <mergeCell ref="A1:E1"/>
    <mergeCell ref="C81:E81"/>
  </mergeCells>
  <printOptions/>
  <pageMargins left="1.141732283464567" right="0.5511811023622047" top="0.4724409448818898" bottom="0.4724409448818898" header="0.5118110236220472" footer="0.5118110236220472"/>
  <pageSetup fitToHeight="2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4"/>
  <sheetViews>
    <sheetView zoomScalePageLayoutView="0" workbookViewId="0" topLeftCell="A14">
      <selection activeCell="C32" sqref="C32"/>
    </sheetView>
  </sheetViews>
  <sheetFormatPr defaultColWidth="9.00390625" defaultRowHeight="12.75"/>
  <cols>
    <col min="1" max="1" width="109.875" style="0" customWidth="1"/>
    <col min="2" max="2" width="17.375" style="0" customWidth="1"/>
    <col min="3" max="3" width="17.75390625" style="0" customWidth="1"/>
    <col min="4" max="4" width="17.125" style="0" customWidth="1"/>
    <col min="5" max="5" width="15.00390625" style="0" customWidth="1"/>
  </cols>
  <sheetData>
    <row r="1" spans="1:5" ht="18">
      <c r="A1" s="246" t="s">
        <v>305</v>
      </c>
      <c r="B1" s="246"/>
      <c r="C1" s="246"/>
      <c r="D1" s="246"/>
      <c r="E1" s="246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94.5">
      <c r="A4" s="34" t="s">
        <v>1</v>
      </c>
      <c r="B4" s="19" t="s">
        <v>255</v>
      </c>
      <c r="C4" s="32" t="s">
        <v>306</v>
      </c>
      <c r="D4" s="19" t="s">
        <v>256</v>
      </c>
      <c r="E4" s="36" t="s">
        <v>257</v>
      </c>
    </row>
    <row r="5" spans="1:5" ht="12.75">
      <c r="A5" s="13">
        <v>1</v>
      </c>
      <c r="B5" s="85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7" t="s">
        <v>45</v>
      </c>
      <c r="B7" s="166">
        <f>SUM(B8)</f>
        <v>70100</v>
      </c>
      <c r="C7" s="166">
        <f>C8</f>
        <v>33325.41</v>
      </c>
      <c r="D7" s="156">
        <f aca="true" t="shared" si="0" ref="D7:D77">IF(B7=0,"   ",C7/B7*100)</f>
        <v>47.53981455064194</v>
      </c>
      <c r="E7" s="157">
        <f aca="true" t="shared" si="1" ref="E7:E78">C7-B7</f>
        <v>-36774.59</v>
      </c>
    </row>
    <row r="8" spans="1:5" ht="12.75">
      <c r="A8" s="16" t="s">
        <v>44</v>
      </c>
      <c r="B8" s="96">
        <v>70100</v>
      </c>
      <c r="C8" s="170">
        <v>33325.41</v>
      </c>
      <c r="D8" s="156">
        <f t="shared" si="0"/>
        <v>47.53981455064194</v>
      </c>
      <c r="E8" s="157">
        <f t="shared" si="1"/>
        <v>-36774.59</v>
      </c>
    </row>
    <row r="9" spans="1:5" ht="12.75">
      <c r="A9" s="74" t="s">
        <v>144</v>
      </c>
      <c r="B9" s="166">
        <f>SUM(B10)</f>
        <v>429100</v>
      </c>
      <c r="C9" s="166">
        <f>SUM(C10)</f>
        <v>250139.42</v>
      </c>
      <c r="D9" s="156">
        <f t="shared" si="0"/>
        <v>58.29396877184806</v>
      </c>
      <c r="E9" s="157">
        <f t="shared" si="1"/>
        <v>-178960.58</v>
      </c>
    </row>
    <row r="10" spans="1:5" ht="12.75">
      <c r="A10" s="43" t="s">
        <v>145</v>
      </c>
      <c r="B10" s="96">
        <v>429100</v>
      </c>
      <c r="C10" s="170">
        <v>250139.42</v>
      </c>
      <c r="D10" s="156">
        <f t="shared" si="0"/>
        <v>58.29396877184806</v>
      </c>
      <c r="E10" s="157">
        <f t="shared" si="1"/>
        <v>-178960.58</v>
      </c>
    </row>
    <row r="11" spans="1:5" ht="13.5" customHeight="1">
      <c r="A11" s="16" t="s">
        <v>7</v>
      </c>
      <c r="B11" s="96">
        <f>SUM(B12:B12)</f>
        <v>18400</v>
      </c>
      <c r="C11" s="96">
        <f>SUM(C12:C12)</f>
        <v>37566.6</v>
      </c>
      <c r="D11" s="156">
        <f t="shared" si="0"/>
        <v>204.16630434782607</v>
      </c>
      <c r="E11" s="157">
        <f t="shared" si="1"/>
        <v>19166.6</v>
      </c>
    </row>
    <row r="12" spans="1:5" ht="13.5" customHeight="1">
      <c r="A12" s="16" t="s">
        <v>26</v>
      </c>
      <c r="B12" s="96">
        <v>18400</v>
      </c>
      <c r="C12" s="170">
        <v>37566.6</v>
      </c>
      <c r="D12" s="156">
        <f t="shared" si="0"/>
        <v>204.16630434782607</v>
      </c>
      <c r="E12" s="157">
        <f t="shared" si="1"/>
        <v>19166.6</v>
      </c>
    </row>
    <row r="13" spans="1:5" ht="12.75">
      <c r="A13" s="16" t="s">
        <v>9</v>
      </c>
      <c r="B13" s="96">
        <f>SUM(B14:B15)</f>
        <v>379000</v>
      </c>
      <c r="C13" s="96">
        <f>SUM(C14:C15)</f>
        <v>53602.869999999995</v>
      </c>
      <c r="D13" s="156">
        <f t="shared" si="0"/>
        <v>14.14323746701847</v>
      </c>
      <c r="E13" s="157">
        <f t="shared" si="1"/>
        <v>-325397.13</v>
      </c>
    </row>
    <row r="14" spans="1:5" ht="19.5" customHeight="1">
      <c r="A14" s="16" t="s">
        <v>27</v>
      </c>
      <c r="B14" s="96">
        <v>51000</v>
      </c>
      <c r="C14" s="170">
        <v>2620.34</v>
      </c>
      <c r="D14" s="156">
        <f t="shared" si="0"/>
        <v>5.137921568627451</v>
      </c>
      <c r="E14" s="157">
        <f t="shared" si="1"/>
        <v>-48379.66</v>
      </c>
    </row>
    <row r="15" spans="1:5" ht="18.75" customHeight="1">
      <c r="A15" s="43" t="s">
        <v>173</v>
      </c>
      <c r="B15" s="31">
        <f>SUM(B16:B17)</f>
        <v>328000</v>
      </c>
      <c r="C15" s="31">
        <f>SUM(C16:C17)</f>
        <v>50982.53</v>
      </c>
      <c r="D15" s="156">
        <f t="shared" si="0"/>
        <v>15.543454268292683</v>
      </c>
      <c r="E15" s="157">
        <f t="shared" si="1"/>
        <v>-277017.47</v>
      </c>
    </row>
    <row r="16" spans="1:5" ht="18.75" customHeight="1">
      <c r="A16" s="43" t="s">
        <v>174</v>
      </c>
      <c r="B16" s="31">
        <v>67200</v>
      </c>
      <c r="C16" s="79">
        <v>37863.23</v>
      </c>
      <c r="D16" s="156">
        <f t="shared" si="0"/>
        <v>56.34409226190476</v>
      </c>
      <c r="E16" s="157">
        <f t="shared" si="1"/>
        <v>-29336.769999999997</v>
      </c>
    </row>
    <row r="17" spans="1:5" ht="18" customHeight="1">
      <c r="A17" s="43" t="s">
        <v>175</v>
      </c>
      <c r="B17" s="31">
        <v>260800</v>
      </c>
      <c r="C17" s="79">
        <v>13119.3</v>
      </c>
      <c r="D17" s="156">
        <f t="shared" si="0"/>
        <v>5.030406441717791</v>
      </c>
      <c r="E17" s="157">
        <f t="shared" si="1"/>
        <v>-247680.7</v>
      </c>
    </row>
    <row r="18" spans="1:5" ht="15" customHeight="1">
      <c r="A18" s="16" t="s">
        <v>88</v>
      </c>
      <c r="B18" s="96">
        <v>0</v>
      </c>
      <c r="C18" s="170">
        <v>0</v>
      </c>
      <c r="D18" s="156" t="str">
        <f t="shared" si="0"/>
        <v>   </v>
      </c>
      <c r="E18" s="157">
        <f t="shared" si="1"/>
        <v>0</v>
      </c>
    </row>
    <row r="19" spans="1:5" ht="26.25" customHeight="1">
      <c r="A19" s="16" t="s">
        <v>28</v>
      </c>
      <c r="B19" s="96">
        <f>B21+B20</f>
        <v>71900</v>
      </c>
      <c r="C19" s="166">
        <f>SUM(C20:C21)</f>
        <v>5000</v>
      </c>
      <c r="D19" s="156">
        <f t="shared" si="0"/>
        <v>6.954102920723226</v>
      </c>
      <c r="E19" s="157">
        <f t="shared" si="1"/>
        <v>-66900</v>
      </c>
    </row>
    <row r="20" spans="1:5" ht="15.75" customHeight="1">
      <c r="A20" s="43" t="s">
        <v>163</v>
      </c>
      <c r="B20" s="96">
        <v>61000</v>
      </c>
      <c r="C20" s="170">
        <v>5000</v>
      </c>
      <c r="D20" s="156">
        <f t="shared" si="0"/>
        <v>8.19672131147541</v>
      </c>
      <c r="E20" s="157">
        <f t="shared" si="1"/>
        <v>-56000</v>
      </c>
    </row>
    <row r="21" spans="1:5" ht="15" customHeight="1">
      <c r="A21" s="16" t="s">
        <v>30</v>
      </c>
      <c r="B21" s="96">
        <v>10900</v>
      </c>
      <c r="C21" s="170">
        <v>0</v>
      </c>
      <c r="D21" s="156">
        <f t="shared" si="0"/>
        <v>0</v>
      </c>
      <c r="E21" s="157">
        <f t="shared" si="1"/>
        <v>-10900</v>
      </c>
    </row>
    <row r="22" spans="1:5" ht="18.75" customHeight="1">
      <c r="A22" s="41" t="s">
        <v>92</v>
      </c>
      <c r="B22" s="96">
        <v>0</v>
      </c>
      <c r="C22" s="170">
        <v>0</v>
      </c>
      <c r="D22" s="156" t="str">
        <f t="shared" si="0"/>
        <v>   </v>
      </c>
      <c r="E22" s="157">
        <f t="shared" si="1"/>
        <v>0</v>
      </c>
    </row>
    <row r="23" spans="1:5" ht="18.75" customHeight="1">
      <c r="A23" s="16" t="s">
        <v>76</v>
      </c>
      <c r="B23" s="96">
        <f>SUM(B24)</f>
        <v>0</v>
      </c>
      <c r="C23" s="96">
        <f>SUM(C24)</f>
        <v>0</v>
      </c>
      <c r="D23" s="156" t="str">
        <f t="shared" si="0"/>
        <v>   </v>
      </c>
      <c r="E23" s="157">
        <f t="shared" si="1"/>
        <v>0</v>
      </c>
    </row>
    <row r="24" spans="1:5" ht="30" customHeight="1">
      <c r="A24" s="16" t="s">
        <v>77</v>
      </c>
      <c r="B24" s="96">
        <v>0</v>
      </c>
      <c r="C24" s="170">
        <v>0</v>
      </c>
      <c r="D24" s="156" t="str">
        <f t="shared" si="0"/>
        <v>   </v>
      </c>
      <c r="E24" s="157">
        <f t="shared" si="1"/>
        <v>0</v>
      </c>
    </row>
    <row r="25" spans="1:5" ht="17.25" customHeight="1">
      <c r="A25" s="16" t="s">
        <v>32</v>
      </c>
      <c r="B25" s="166">
        <f>B26+B27</f>
        <v>0</v>
      </c>
      <c r="C25" s="166">
        <f>C26+C27</f>
        <v>0</v>
      </c>
      <c r="D25" s="156" t="str">
        <f t="shared" si="0"/>
        <v>   </v>
      </c>
      <c r="E25" s="157">
        <f t="shared" si="1"/>
        <v>0</v>
      </c>
    </row>
    <row r="26" spans="1:5" ht="14.25" customHeight="1">
      <c r="A26" s="16" t="s">
        <v>141</v>
      </c>
      <c r="B26" s="96">
        <v>0</v>
      </c>
      <c r="C26" s="170">
        <v>0</v>
      </c>
      <c r="D26" s="156" t="str">
        <f t="shared" si="0"/>
        <v>   </v>
      </c>
      <c r="E26" s="157">
        <f t="shared" si="1"/>
        <v>0</v>
      </c>
    </row>
    <row r="27" spans="1:5" ht="14.25" customHeight="1">
      <c r="A27" s="16" t="s">
        <v>111</v>
      </c>
      <c r="B27" s="96">
        <v>0</v>
      </c>
      <c r="C27" s="96">
        <v>0</v>
      </c>
      <c r="D27" s="156" t="str">
        <f t="shared" si="0"/>
        <v>   </v>
      </c>
      <c r="E27" s="157">
        <f t="shared" si="1"/>
        <v>0</v>
      </c>
    </row>
    <row r="28" spans="1:5" ht="18" customHeight="1">
      <c r="A28" s="193" t="s">
        <v>10</v>
      </c>
      <c r="B28" s="168">
        <f>SUM(B7,B9,B11,B13,B18,B19,B22,B23,B26,B27,)</f>
        <v>968500</v>
      </c>
      <c r="C28" s="168">
        <f>SUM(C7,C9,C11,C13,C18,C19,C22,C23,C26,C27,)</f>
        <v>379634.3</v>
      </c>
      <c r="D28" s="173">
        <f t="shared" si="0"/>
        <v>39.19817243159525</v>
      </c>
      <c r="E28" s="174">
        <f t="shared" si="1"/>
        <v>-588865.7</v>
      </c>
    </row>
    <row r="29" spans="1:5" ht="18" customHeight="1">
      <c r="A29" s="165" t="s">
        <v>147</v>
      </c>
      <c r="B29" s="215">
        <f>SUM(B30:B32,B35,B38+B40)</f>
        <v>1878634.4</v>
      </c>
      <c r="C29" s="215">
        <f>SUM(C30:C32,C35,C38+C40)</f>
        <v>1100717.5999999999</v>
      </c>
      <c r="D29" s="158">
        <f t="shared" si="0"/>
        <v>58.59136828325937</v>
      </c>
      <c r="E29" s="159">
        <f t="shared" si="1"/>
        <v>-777916.8</v>
      </c>
    </row>
    <row r="30" spans="1:5" ht="22.5" customHeight="1">
      <c r="A30" s="74" t="s">
        <v>34</v>
      </c>
      <c r="B30" s="179">
        <v>714200</v>
      </c>
      <c r="C30" s="179">
        <v>415800</v>
      </c>
      <c r="D30" s="173">
        <f t="shared" si="0"/>
        <v>58.2189862783534</v>
      </c>
      <c r="E30" s="174">
        <f t="shared" si="1"/>
        <v>-298400</v>
      </c>
    </row>
    <row r="31" spans="1:5" ht="24.75" customHeight="1">
      <c r="A31" s="43" t="s">
        <v>51</v>
      </c>
      <c r="B31" s="171">
        <v>71300</v>
      </c>
      <c r="C31" s="172">
        <v>37600</v>
      </c>
      <c r="D31" s="173">
        <f t="shared" si="0"/>
        <v>52.73492286115007</v>
      </c>
      <c r="E31" s="174">
        <f t="shared" si="1"/>
        <v>-33700</v>
      </c>
    </row>
    <row r="32" spans="1:5" ht="24.75" customHeight="1">
      <c r="A32" s="43" t="s">
        <v>157</v>
      </c>
      <c r="B32" s="171">
        <f>SUM(B33:B34)</f>
        <v>1300</v>
      </c>
      <c r="C32" s="171">
        <f>SUM(C33:C34)</f>
        <v>100</v>
      </c>
      <c r="D32" s="173">
        <f t="shared" si="0"/>
        <v>7.6923076923076925</v>
      </c>
      <c r="E32" s="174">
        <f t="shared" si="1"/>
        <v>-1200</v>
      </c>
    </row>
    <row r="33" spans="1:5" ht="16.5" customHeight="1">
      <c r="A33" s="124" t="s">
        <v>178</v>
      </c>
      <c r="B33" s="171">
        <v>100</v>
      </c>
      <c r="C33" s="172">
        <v>100</v>
      </c>
      <c r="D33" s="173">
        <f>IF(B33=0,"   ",C33/B33*100)</f>
        <v>100</v>
      </c>
      <c r="E33" s="174">
        <f>C33-B33</f>
        <v>0</v>
      </c>
    </row>
    <row r="34" spans="1:5" ht="26.25" customHeight="1">
      <c r="A34" s="124" t="s">
        <v>179</v>
      </c>
      <c r="B34" s="171">
        <v>1200</v>
      </c>
      <c r="C34" s="172">
        <v>0</v>
      </c>
      <c r="D34" s="173">
        <f>IF(B34=0,"   ",C34/B34*100)</f>
        <v>0</v>
      </c>
      <c r="E34" s="174">
        <f>C34-B34</f>
        <v>-1200</v>
      </c>
    </row>
    <row r="35" spans="1:5" ht="16.5" customHeight="1">
      <c r="A35" s="43" t="s">
        <v>80</v>
      </c>
      <c r="B35" s="171">
        <f>B36+B37</f>
        <v>836334.4</v>
      </c>
      <c r="C35" s="171">
        <f>C36+C37</f>
        <v>604156.4</v>
      </c>
      <c r="D35" s="173">
        <f t="shared" si="0"/>
        <v>72.23861651511643</v>
      </c>
      <c r="E35" s="174">
        <f t="shared" si="1"/>
        <v>-232178</v>
      </c>
    </row>
    <row r="36" spans="1:5" ht="16.5" customHeight="1">
      <c r="A36" s="43" t="s">
        <v>110</v>
      </c>
      <c r="B36" s="171">
        <v>319600</v>
      </c>
      <c r="C36" s="172">
        <v>87422</v>
      </c>
      <c r="D36" s="173">
        <f t="shared" si="0"/>
        <v>27.353566958698373</v>
      </c>
      <c r="E36" s="174">
        <f t="shared" si="1"/>
        <v>-232178</v>
      </c>
    </row>
    <row r="37" spans="1:5" ht="16.5" customHeight="1">
      <c r="A37" s="56" t="s">
        <v>235</v>
      </c>
      <c r="B37" s="171">
        <v>516734.4</v>
      </c>
      <c r="C37" s="172">
        <v>516734.4</v>
      </c>
      <c r="D37" s="173">
        <f t="shared" si="0"/>
        <v>100</v>
      </c>
      <c r="E37" s="174">
        <f t="shared" si="1"/>
        <v>0</v>
      </c>
    </row>
    <row r="38" spans="1:5" ht="16.5" customHeight="1">
      <c r="A38" s="43" t="s">
        <v>189</v>
      </c>
      <c r="B38" s="171">
        <v>0</v>
      </c>
      <c r="C38" s="172">
        <v>0</v>
      </c>
      <c r="D38" s="173" t="str">
        <f t="shared" si="0"/>
        <v>   </v>
      </c>
      <c r="E38" s="174">
        <f t="shared" si="1"/>
        <v>0</v>
      </c>
    </row>
    <row r="39" spans="1:5" ht="42.75" customHeight="1">
      <c r="A39" s="43" t="s">
        <v>104</v>
      </c>
      <c r="B39" s="171">
        <v>0</v>
      </c>
      <c r="C39" s="171">
        <v>0</v>
      </c>
      <c r="D39" s="173" t="str">
        <f t="shared" si="0"/>
        <v>   </v>
      </c>
      <c r="E39" s="174">
        <f t="shared" si="1"/>
        <v>0</v>
      </c>
    </row>
    <row r="40" spans="1:5" ht="21.75" customHeight="1">
      <c r="A40" s="16" t="s">
        <v>267</v>
      </c>
      <c r="B40" s="171">
        <v>255500</v>
      </c>
      <c r="C40" s="171">
        <v>43061.2</v>
      </c>
      <c r="D40" s="173">
        <f t="shared" si="0"/>
        <v>16.853698630136986</v>
      </c>
      <c r="E40" s="174">
        <f t="shared" si="1"/>
        <v>-212438.8</v>
      </c>
    </row>
    <row r="41" spans="1:5" ht="21" customHeight="1">
      <c r="A41" s="193" t="s">
        <v>11</v>
      </c>
      <c r="B41" s="168">
        <f>SUM(B28,B29,)</f>
        <v>2847134.4</v>
      </c>
      <c r="C41" s="168">
        <f>SUM(C28,C29,)</f>
        <v>1480351.9</v>
      </c>
      <c r="D41" s="158">
        <f t="shared" si="0"/>
        <v>51.99445098201194</v>
      </c>
      <c r="E41" s="159">
        <f t="shared" si="1"/>
        <v>-1366782.5</v>
      </c>
    </row>
    <row r="42" spans="1:5" ht="30.75" customHeight="1">
      <c r="A42" s="194" t="s">
        <v>12</v>
      </c>
      <c r="B42" s="168"/>
      <c r="C42" s="181"/>
      <c r="D42" s="173" t="str">
        <f t="shared" si="0"/>
        <v>   </v>
      </c>
      <c r="E42" s="174">
        <f t="shared" si="1"/>
        <v>0</v>
      </c>
    </row>
    <row r="43" spans="1:5" ht="22.5" customHeight="1">
      <c r="A43" s="43" t="s">
        <v>35</v>
      </c>
      <c r="B43" s="171">
        <f>SUM(B44,B46:B47)</f>
        <v>1030800</v>
      </c>
      <c r="C43" s="171">
        <f>SUM(C44,C46:C47)</f>
        <v>412711.75</v>
      </c>
      <c r="D43" s="173">
        <f t="shared" si="0"/>
        <v>40.03800446255335</v>
      </c>
      <c r="E43" s="174">
        <f t="shared" si="1"/>
        <v>-618088.25</v>
      </c>
    </row>
    <row r="44" spans="1:5" ht="13.5" customHeight="1">
      <c r="A44" s="43" t="s">
        <v>36</v>
      </c>
      <c r="B44" s="171">
        <v>1030300</v>
      </c>
      <c r="C44" s="171">
        <v>412711.75</v>
      </c>
      <c r="D44" s="173">
        <f t="shared" si="0"/>
        <v>40.0574347277492</v>
      </c>
      <c r="E44" s="174">
        <f t="shared" si="1"/>
        <v>-617588.25</v>
      </c>
    </row>
    <row r="45" spans="1:5" ht="12.75">
      <c r="A45" s="43" t="s">
        <v>123</v>
      </c>
      <c r="B45" s="171">
        <v>717400</v>
      </c>
      <c r="C45" s="181">
        <v>278200</v>
      </c>
      <c r="D45" s="173">
        <f t="shared" si="0"/>
        <v>38.77892389183161</v>
      </c>
      <c r="E45" s="174">
        <f t="shared" si="1"/>
        <v>-439200</v>
      </c>
    </row>
    <row r="46" spans="1:5" ht="12.75">
      <c r="A46" s="43" t="s">
        <v>96</v>
      </c>
      <c r="B46" s="171">
        <v>500</v>
      </c>
      <c r="C46" s="172">
        <v>0</v>
      </c>
      <c r="D46" s="173">
        <f t="shared" si="0"/>
        <v>0</v>
      </c>
      <c r="E46" s="174">
        <f t="shared" si="1"/>
        <v>-500</v>
      </c>
    </row>
    <row r="47" spans="1:5" ht="12.75">
      <c r="A47" s="43" t="s">
        <v>52</v>
      </c>
      <c r="B47" s="172">
        <f>SUM(B48)</f>
        <v>0</v>
      </c>
      <c r="C47" s="172">
        <f>SUM(C48)</f>
        <v>0</v>
      </c>
      <c r="D47" s="173" t="str">
        <f t="shared" si="0"/>
        <v>   </v>
      </c>
      <c r="E47" s="174">
        <f t="shared" si="1"/>
        <v>0</v>
      </c>
    </row>
    <row r="48" spans="1:5" ht="25.5">
      <c r="A48" s="120" t="s">
        <v>166</v>
      </c>
      <c r="B48" s="171">
        <v>0</v>
      </c>
      <c r="C48" s="172">
        <v>0</v>
      </c>
      <c r="D48" s="173" t="str">
        <f t="shared" si="0"/>
        <v>   </v>
      </c>
      <c r="E48" s="174">
        <f t="shared" si="1"/>
        <v>0</v>
      </c>
    </row>
    <row r="49" spans="1:5" ht="16.5" customHeight="1">
      <c r="A49" s="43" t="s">
        <v>49</v>
      </c>
      <c r="B49" s="172">
        <f>SUM(B50)</f>
        <v>71300</v>
      </c>
      <c r="C49" s="172">
        <f>SUM(C50)</f>
        <v>23297.14</v>
      </c>
      <c r="D49" s="173">
        <f t="shared" si="0"/>
        <v>32.674810659186534</v>
      </c>
      <c r="E49" s="174">
        <f t="shared" si="1"/>
        <v>-48002.86</v>
      </c>
    </row>
    <row r="50" spans="1:5" ht="17.25" customHeight="1">
      <c r="A50" s="41" t="s">
        <v>108</v>
      </c>
      <c r="B50" s="171">
        <v>71300</v>
      </c>
      <c r="C50" s="172">
        <v>23297.14</v>
      </c>
      <c r="D50" s="173">
        <f t="shared" si="0"/>
        <v>32.674810659186534</v>
      </c>
      <c r="E50" s="174">
        <f t="shared" si="1"/>
        <v>-48002.86</v>
      </c>
    </row>
    <row r="51" spans="1:5" ht="22.5" customHeight="1">
      <c r="A51" s="43" t="s">
        <v>37</v>
      </c>
      <c r="B51" s="171">
        <f>SUM(B52)</f>
        <v>400</v>
      </c>
      <c r="C51" s="172">
        <f>SUM(C52)</f>
        <v>0</v>
      </c>
      <c r="D51" s="173">
        <f t="shared" si="0"/>
        <v>0</v>
      </c>
      <c r="E51" s="174">
        <f t="shared" si="1"/>
        <v>-400</v>
      </c>
    </row>
    <row r="52" spans="1:5" ht="17.25" customHeight="1">
      <c r="A52" s="87" t="s">
        <v>130</v>
      </c>
      <c r="B52" s="171">
        <v>400</v>
      </c>
      <c r="C52" s="172">
        <v>0</v>
      </c>
      <c r="D52" s="173">
        <f t="shared" si="0"/>
        <v>0</v>
      </c>
      <c r="E52" s="174">
        <f t="shared" si="1"/>
        <v>-400</v>
      </c>
    </row>
    <row r="53" spans="1:5" ht="18.75" customHeight="1">
      <c r="A53" s="43" t="s">
        <v>38</v>
      </c>
      <c r="B53" s="171">
        <f>B57+B54</f>
        <v>432700</v>
      </c>
      <c r="C53" s="171">
        <f>C57+C54</f>
        <v>118030</v>
      </c>
      <c r="D53" s="173">
        <f t="shared" si="0"/>
        <v>27.277559510053155</v>
      </c>
      <c r="E53" s="174">
        <f t="shared" si="1"/>
        <v>-314670</v>
      </c>
    </row>
    <row r="54" spans="1:5" ht="18.75" customHeight="1">
      <c r="A54" s="87" t="s">
        <v>180</v>
      </c>
      <c r="B54" s="25">
        <f>SUM(B55,B56)</f>
        <v>1200</v>
      </c>
      <c r="C54" s="25">
        <f>SUM(C55,C56)</f>
        <v>0</v>
      </c>
      <c r="D54" s="173">
        <f>IF(B54=0,"   ",C54/B54*100)</f>
        <v>0</v>
      </c>
      <c r="E54" s="174">
        <f>C54-B54</f>
        <v>-1200</v>
      </c>
    </row>
    <row r="55" spans="1:5" ht="18.75" customHeight="1">
      <c r="A55" s="87" t="s">
        <v>181</v>
      </c>
      <c r="B55" s="25">
        <v>1200</v>
      </c>
      <c r="C55" s="171">
        <v>0</v>
      </c>
      <c r="D55" s="173">
        <f>IF(B55=0,"   ",C55/B55*100)</f>
        <v>0</v>
      </c>
      <c r="E55" s="174">
        <f>C55-B55</f>
        <v>-1200</v>
      </c>
    </row>
    <row r="56" spans="1:5" ht="18.75" customHeight="1">
      <c r="A56" s="87" t="s">
        <v>238</v>
      </c>
      <c r="B56" s="25">
        <v>0</v>
      </c>
      <c r="C56" s="171">
        <v>0</v>
      </c>
      <c r="D56" s="173"/>
      <c r="E56" s="174"/>
    </row>
    <row r="57" spans="1:5" ht="12.75">
      <c r="A57" s="111" t="s">
        <v>134</v>
      </c>
      <c r="B57" s="171">
        <f>B58+B60+B61+B59</f>
        <v>431500</v>
      </c>
      <c r="C57" s="171">
        <f>C58+C60+C61+C59</f>
        <v>118030</v>
      </c>
      <c r="D57" s="173">
        <f t="shared" si="0"/>
        <v>27.353418308227113</v>
      </c>
      <c r="E57" s="174">
        <f t="shared" si="1"/>
        <v>-313470</v>
      </c>
    </row>
    <row r="58" spans="1:5" ht="16.5" customHeight="1">
      <c r="A58" s="87" t="s">
        <v>148</v>
      </c>
      <c r="B58" s="171">
        <v>0</v>
      </c>
      <c r="C58" s="171">
        <v>0</v>
      </c>
      <c r="D58" s="173" t="str">
        <f t="shared" si="0"/>
        <v>   </v>
      </c>
      <c r="E58" s="174">
        <f t="shared" si="1"/>
        <v>0</v>
      </c>
    </row>
    <row r="59" spans="1:5" ht="13.5" customHeight="1">
      <c r="A59" s="87" t="s">
        <v>158</v>
      </c>
      <c r="B59" s="171">
        <v>0</v>
      </c>
      <c r="C59" s="171">
        <v>0</v>
      </c>
      <c r="D59" s="173" t="str">
        <f>IF(B59=0,"   ",C59/B59*100)</f>
        <v>   </v>
      </c>
      <c r="E59" s="174">
        <f>C59-B59</f>
        <v>0</v>
      </c>
    </row>
    <row r="60" spans="1:5" ht="25.5">
      <c r="A60" s="82" t="s">
        <v>135</v>
      </c>
      <c r="B60" s="171">
        <v>319600</v>
      </c>
      <c r="C60" s="171">
        <v>87422</v>
      </c>
      <c r="D60" s="173">
        <f t="shared" si="0"/>
        <v>27.353566958698373</v>
      </c>
      <c r="E60" s="174">
        <f t="shared" si="1"/>
        <v>-232178</v>
      </c>
    </row>
    <row r="61" spans="1:5" ht="25.5">
      <c r="A61" s="82" t="s">
        <v>136</v>
      </c>
      <c r="B61" s="171">
        <v>111900</v>
      </c>
      <c r="C61" s="171">
        <v>30608</v>
      </c>
      <c r="D61" s="173">
        <f t="shared" si="0"/>
        <v>27.352993744414654</v>
      </c>
      <c r="E61" s="174">
        <f t="shared" si="1"/>
        <v>-81292</v>
      </c>
    </row>
    <row r="62" spans="1:5" ht="21.75" customHeight="1">
      <c r="A62" s="43" t="s">
        <v>13</v>
      </c>
      <c r="B62" s="171">
        <f>B68+B63</f>
        <v>1056434.4</v>
      </c>
      <c r="C62" s="171">
        <f>C68+C63</f>
        <v>591645.85</v>
      </c>
      <c r="D62" s="173">
        <f t="shared" si="0"/>
        <v>56.00403110690072</v>
      </c>
      <c r="E62" s="174">
        <f t="shared" si="1"/>
        <v>-464788.54999999993</v>
      </c>
    </row>
    <row r="63" spans="1:5" ht="17.25" customHeight="1">
      <c r="A63" s="43" t="s">
        <v>159</v>
      </c>
      <c r="B63" s="171">
        <f>B64</f>
        <v>889234.4</v>
      </c>
      <c r="C63" s="171">
        <f>C64</f>
        <v>559795.6</v>
      </c>
      <c r="D63" s="173">
        <f>IF(B63=0,"   ",C63/B63*100)</f>
        <v>62.952535349509645</v>
      </c>
      <c r="E63" s="174">
        <f>C63-B63</f>
        <v>-329438.80000000005</v>
      </c>
    </row>
    <row r="64" spans="1:5" ht="17.25" customHeight="1">
      <c r="A64" s="120" t="s">
        <v>277</v>
      </c>
      <c r="B64" s="171">
        <f>SUM(B65:B67)</f>
        <v>889234.4</v>
      </c>
      <c r="C64" s="171">
        <f>SUM(C65:C67)</f>
        <v>559795.6</v>
      </c>
      <c r="D64" s="173">
        <f>IF(B64=0,"   ",C64/B64*100)</f>
        <v>62.952535349509645</v>
      </c>
      <c r="E64" s="174">
        <f>C64-B64</f>
        <v>-329438.80000000005</v>
      </c>
    </row>
    <row r="65" spans="1:5" ht="27.75" customHeight="1">
      <c r="A65" s="120" t="s">
        <v>234</v>
      </c>
      <c r="B65" s="172">
        <v>516734.4</v>
      </c>
      <c r="C65" s="172">
        <v>516734.4</v>
      </c>
      <c r="D65" s="173">
        <f>IF(B65=0,"   ",C65/B65*100)</f>
        <v>100</v>
      </c>
      <c r="E65" s="174">
        <f>C65-B65</f>
        <v>0</v>
      </c>
    </row>
    <row r="66" spans="1:5" ht="27.75" customHeight="1">
      <c r="A66" s="120" t="s">
        <v>268</v>
      </c>
      <c r="B66" s="172">
        <v>325900</v>
      </c>
      <c r="C66" s="172"/>
      <c r="D66" s="173"/>
      <c r="E66" s="174"/>
    </row>
    <row r="67" spans="1:5" ht="22.5" customHeight="1">
      <c r="A67" s="120" t="s">
        <v>283</v>
      </c>
      <c r="B67" s="172">
        <v>46600</v>
      </c>
      <c r="C67" s="172">
        <v>43061.2</v>
      </c>
      <c r="D67" s="173">
        <f>IF(B67=0,"   ",C67/B67*100)</f>
        <v>92.40600858369098</v>
      </c>
      <c r="E67" s="174">
        <f>C67-B67</f>
        <v>-3538.800000000003</v>
      </c>
    </row>
    <row r="68" spans="1:5" ht="12.75">
      <c r="A68" s="43" t="s">
        <v>63</v>
      </c>
      <c r="B68" s="171">
        <f>B69+B70+B72+B71</f>
        <v>167200</v>
      </c>
      <c r="C68" s="171">
        <f>C69+C70+C72+C71</f>
        <v>31850.25</v>
      </c>
      <c r="D68" s="173">
        <f t="shared" si="0"/>
        <v>19.049192583732058</v>
      </c>
      <c r="E68" s="174">
        <f t="shared" si="1"/>
        <v>-135349.75</v>
      </c>
    </row>
    <row r="69" spans="1:5" ht="12.75">
      <c r="A69" s="43" t="s">
        <v>62</v>
      </c>
      <c r="B69" s="171">
        <v>124700</v>
      </c>
      <c r="C69" s="172">
        <v>24800.49</v>
      </c>
      <c r="D69" s="173">
        <f t="shared" si="0"/>
        <v>19.88812349639134</v>
      </c>
      <c r="E69" s="174">
        <f t="shared" si="1"/>
        <v>-99899.51</v>
      </c>
    </row>
    <row r="70" spans="1:5" ht="12.75">
      <c r="A70" s="43" t="s">
        <v>133</v>
      </c>
      <c r="B70" s="171">
        <v>42500</v>
      </c>
      <c r="C70" s="171">
        <v>7049.76</v>
      </c>
      <c r="D70" s="173">
        <f t="shared" si="0"/>
        <v>16.587670588235294</v>
      </c>
      <c r="E70" s="174">
        <f t="shared" si="1"/>
        <v>-35450.24</v>
      </c>
    </row>
    <row r="71" spans="1:5" ht="12.75">
      <c r="A71" s="16" t="s">
        <v>95</v>
      </c>
      <c r="B71" s="171">
        <v>0</v>
      </c>
      <c r="C71" s="171">
        <v>0</v>
      </c>
      <c r="D71" s="173" t="str">
        <f t="shared" si="0"/>
        <v>   </v>
      </c>
      <c r="E71" s="174">
        <f t="shared" si="1"/>
        <v>0</v>
      </c>
    </row>
    <row r="72" spans="1:5" ht="25.5">
      <c r="A72" s="120" t="s">
        <v>182</v>
      </c>
      <c r="B72" s="171">
        <v>0</v>
      </c>
      <c r="C72" s="172">
        <v>0</v>
      </c>
      <c r="D72" s="173" t="str">
        <f t="shared" si="0"/>
        <v>   </v>
      </c>
      <c r="E72" s="174">
        <f t="shared" si="1"/>
        <v>0</v>
      </c>
    </row>
    <row r="73" spans="1:5" ht="21.75" customHeight="1">
      <c r="A73" s="18" t="s">
        <v>17</v>
      </c>
      <c r="B73" s="171">
        <v>8000</v>
      </c>
      <c r="C73" s="171">
        <v>0</v>
      </c>
      <c r="D73" s="173">
        <f t="shared" si="0"/>
        <v>0</v>
      </c>
      <c r="E73" s="174">
        <f t="shared" si="1"/>
        <v>-8000</v>
      </c>
    </row>
    <row r="74" spans="1:5" ht="22.5" customHeight="1">
      <c r="A74" s="43" t="s">
        <v>41</v>
      </c>
      <c r="B74" s="179">
        <f>B75</f>
        <v>360500</v>
      </c>
      <c r="C74" s="179">
        <f>C75</f>
        <v>338800</v>
      </c>
      <c r="D74" s="173">
        <f t="shared" si="0"/>
        <v>93.98058252427185</v>
      </c>
      <c r="E74" s="174">
        <f t="shared" si="1"/>
        <v>-21700</v>
      </c>
    </row>
    <row r="75" spans="1:5" ht="12.75">
      <c r="A75" s="43" t="s">
        <v>42</v>
      </c>
      <c r="B75" s="171">
        <v>360500</v>
      </c>
      <c r="C75" s="172">
        <v>338800</v>
      </c>
      <c r="D75" s="173">
        <f t="shared" si="0"/>
        <v>93.98058252427185</v>
      </c>
      <c r="E75" s="174">
        <f t="shared" si="1"/>
        <v>-21700</v>
      </c>
    </row>
    <row r="76" spans="1:5" ht="16.5" customHeight="1">
      <c r="A76" s="43" t="s">
        <v>125</v>
      </c>
      <c r="B76" s="171">
        <f>SUM(B77,)</f>
        <v>4000</v>
      </c>
      <c r="C76" s="171">
        <f>SUM(C77,)</f>
        <v>0</v>
      </c>
      <c r="D76" s="173">
        <f t="shared" si="0"/>
        <v>0</v>
      </c>
      <c r="E76" s="174">
        <f t="shared" si="1"/>
        <v>-4000</v>
      </c>
    </row>
    <row r="77" spans="1:5" ht="12.75">
      <c r="A77" s="43" t="s">
        <v>43</v>
      </c>
      <c r="B77" s="171">
        <v>4000</v>
      </c>
      <c r="C77" s="181">
        <v>0</v>
      </c>
      <c r="D77" s="173">
        <f t="shared" si="0"/>
        <v>0</v>
      </c>
      <c r="E77" s="174">
        <f t="shared" si="1"/>
        <v>-4000</v>
      </c>
    </row>
    <row r="78" spans="1:5" ht="28.5" customHeight="1">
      <c r="A78" s="193" t="s">
        <v>15</v>
      </c>
      <c r="B78" s="168">
        <f>SUM(B43,B49,B51,B53,B62,B73,B74,B76,)</f>
        <v>2964134.4</v>
      </c>
      <c r="C78" s="168">
        <f>SUM(C43,C49,C51,C53,C62,C73,C74,C76,)</f>
        <v>1484484.74</v>
      </c>
      <c r="D78" s="158">
        <f>IF(B78=0,"   ",C78/B78*100)</f>
        <v>50.08155972954533</v>
      </c>
      <c r="E78" s="159">
        <f t="shared" si="1"/>
        <v>-1479649.66</v>
      </c>
    </row>
    <row r="79" spans="1:5" s="69" customFormat="1" ht="23.25" customHeight="1">
      <c r="A79" s="92" t="s">
        <v>176</v>
      </c>
      <c r="B79" s="92"/>
      <c r="C79" s="244"/>
      <c r="D79" s="244"/>
      <c r="E79" s="244"/>
    </row>
    <row r="80" spans="1:5" s="69" customFormat="1" ht="12" customHeight="1">
      <c r="A80" s="92" t="s">
        <v>165</v>
      </c>
      <c r="B80" s="92"/>
      <c r="C80" s="93" t="s">
        <v>177</v>
      </c>
      <c r="D80" s="94"/>
      <c r="E80" s="95"/>
    </row>
    <row r="81" spans="1:5" ht="12.75">
      <c r="A81" s="7"/>
      <c r="B81" s="7"/>
      <c r="C81" s="6"/>
      <c r="D81" s="7"/>
      <c r="E81" s="2"/>
    </row>
    <row r="82" spans="1:5" ht="12.75">
      <c r="A82" s="7"/>
      <c r="B82" s="7"/>
      <c r="C82" s="6"/>
      <c r="D82" s="7"/>
      <c r="E82" s="2"/>
    </row>
    <row r="83" spans="1:5" ht="12.75">
      <c r="A83" s="7"/>
      <c r="B83" s="7"/>
      <c r="C83" s="6"/>
      <c r="D83" s="7"/>
      <c r="E83" s="2"/>
    </row>
    <row r="84" spans="1:5" ht="12.75">
      <c r="A84" s="7"/>
      <c r="B84" s="7"/>
      <c r="C84" s="6"/>
      <c r="D84" s="7"/>
      <c r="E84" s="2"/>
    </row>
  </sheetData>
  <sheetProtection/>
  <mergeCells count="2">
    <mergeCell ref="A1:E1"/>
    <mergeCell ref="C79:E79"/>
  </mergeCells>
  <printOptions/>
  <pageMargins left="1.1811023622047245" right="0.7874015748031497" top="0.5905511811023623" bottom="0.5118110236220472" header="0.5118110236220472" footer="0.5118110236220472"/>
  <pageSetup fitToHeight="2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9"/>
  <sheetViews>
    <sheetView zoomScalePageLayoutView="0" workbookViewId="0" topLeftCell="A31">
      <selection activeCell="A23" sqref="A23"/>
    </sheetView>
  </sheetViews>
  <sheetFormatPr defaultColWidth="9.00390625" defaultRowHeight="12.75"/>
  <cols>
    <col min="1" max="1" width="105.625" style="0" customWidth="1"/>
    <col min="2" max="2" width="16.00390625" style="0" customWidth="1"/>
    <col min="3" max="3" width="18.125" style="0" customWidth="1"/>
    <col min="4" max="4" width="20.125" style="0" customWidth="1"/>
    <col min="5" max="5" width="16.25390625" style="0" customWidth="1"/>
  </cols>
  <sheetData>
    <row r="1" spans="1:5" ht="18">
      <c r="A1" s="246" t="s">
        <v>307</v>
      </c>
      <c r="B1" s="246"/>
      <c r="C1" s="246"/>
      <c r="D1" s="246"/>
      <c r="E1" s="246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2.25" customHeight="1">
      <c r="A4" s="34" t="s">
        <v>1</v>
      </c>
      <c r="B4" s="19" t="s">
        <v>255</v>
      </c>
      <c r="C4" s="32" t="s">
        <v>308</v>
      </c>
      <c r="D4" s="19" t="s">
        <v>258</v>
      </c>
      <c r="E4" s="36" t="s">
        <v>257</v>
      </c>
    </row>
    <row r="5" spans="1:5" ht="12.75">
      <c r="A5" s="13">
        <v>1</v>
      </c>
      <c r="B5" s="85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9.5" customHeight="1">
      <c r="A7" s="169" t="s">
        <v>45</v>
      </c>
      <c r="B7" s="166">
        <f>SUM(B8)</f>
        <v>9196500</v>
      </c>
      <c r="C7" s="166">
        <f>SUM(C8)</f>
        <v>5092202.18</v>
      </c>
      <c r="D7" s="156">
        <f aca="true" t="shared" si="0" ref="D7:D101">IF(B7=0,"   ",C7/B7*100)</f>
        <v>55.371088783776436</v>
      </c>
      <c r="E7" s="157">
        <f aca="true" t="shared" si="1" ref="E7:E123">C7-B7</f>
        <v>-4104297.8200000003</v>
      </c>
    </row>
    <row r="8" spans="1:5" ht="12.75">
      <c r="A8" s="97" t="s">
        <v>44</v>
      </c>
      <c r="B8" s="96">
        <v>9196500</v>
      </c>
      <c r="C8" s="170">
        <v>5092202.18</v>
      </c>
      <c r="D8" s="156">
        <f t="shared" si="0"/>
        <v>55.371088783776436</v>
      </c>
      <c r="E8" s="157">
        <f t="shared" si="1"/>
        <v>-4104297.8200000003</v>
      </c>
    </row>
    <row r="9" spans="1:5" ht="18.75" customHeight="1">
      <c r="A9" s="169" t="s">
        <v>144</v>
      </c>
      <c r="B9" s="166">
        <f>SUM(B10)</f>
        <v>1016100</v>
      </c>
      <c r="C9" s="166">
        <f>SUM(C10)</f>
        <v>592370.1</v>
      </c>
      <c r="D9" s="156">
        <f t="shared" si="0"/>
        <v>58.29840566873339</v>
      </c>
      <c r="E9" s="157">
        <f t="shared" si="1"/>
        <v>-423729.9</v>
      </c>
    </row>
    <row r="10" spans="1:5" ht="12.75">
      <c r="A10" s="97" t="s">
        <v>145</v>
      </c>
      <c r="B10" s="96">
        <v>1016100</v>
      </c>
      <c r="C10" s="170">
        <v>592370.1</v>
      </c>
      <c r="D10" s="156">
        <f t="shared" si="0"/>
        <v>58.29840566873339</v>
      </c>
      <c r="E10" s="157">
        <f t="shared" si="1"/>
        <v>-423729.9</v>
      </c>
    </row>
    <row r="11" spans="1:5" ht="17.25" customHeight="1">
      <c r="A11" s="97" t="s">
        <v>7</v>
      </c>
      <c r="B11" s="96">
        <f>SUM(B12:B12)</f>
        <v>4200</v>
      </c>
      <c r="C11" s="166">
        <f>SUM(C12)</f>
        <v>3053.26</v>
      </c>
      <c r="D11" s="156">
        <f t="shared" si="0"/>
        <v>72.69666666666667</v>
      </c>
      <c r="E11" s="157">
        <f t="shared" si="1"/>
        <v>-1146.7399999999998</v>
      </c>
    </row>
    <row r="12" spans="1:5" ht="12.75">
      <c r="A12" s="97" t="s">
        <v>26</v>
      </c>
      <c r="B12" s="96">
        <v>4200</v>
      </c>
      <c r="C12" s="170">
        <v>3053.26</v>
      </c>
      <c r="D12" s="156">
        <f t="shared" si="0"/>
        <v>72.69666666666667</v>
      </c>
      <c r="E12" s="157">
        <f t="shared" si="1"/>
        <v>-1146.7399999999998</v>
      </c>
    </row>
    <row r="13" spans="1:5" ht="16.5" customHeight="1">
      <c r="A13" s="97" t="s">
        <v>9</v>
      </c>
      <c r="B13" s="96">
        <f>SUM(B14:B15)</f>
        <v>4180000</v>
      </c>
      <c r="C13" s="96">
        <f>SUM(C14:C15)</f>
        <v>970631.43</v>
      </c>
      <c r="D13" s="156">
        <f t="shared" si="0"/>
        <v>23.220847607655504</v>
      </c>
      <c r="E13" s="157">
        <f t="shared" si="1"/>
        <v>-3209368.57</v>
      </c>
    </row>
    <row r="14" spans="1:5" ht="12.75">
      <c r="A14" s="97" t="s">
        <v>27</v>
      </c>
      <c r="B14" s="96">
        <v>1408000</v>
      </c>
      <c r="C14" s="170">
        <v>148023.41</v>
      </c>
      <c r="D14" s="156">
        <f t="shared" si="0"/>
        <v>10.513026278409091</v>
      </c>
      <c r="E14" s="157">
        <f t="shared" si="1"/>
        <v>-1259976.59</v>
      </c>
    </row>
    <row r="15" spans="1:5" ht="12.75">
      <c r="A15" s="43" t="s">
        <v>173</v>
      </c>
      <c r="B15" s="31">
        <f>SUM(B16:B17)</f>
        <v>2772000</v>
      </c>
      <c r="C15" s="31">
        <f>SUM(C16:C17)</f>
        <v>822608.02</v>
      </c>
      <c r="D15" s="156">
        <f t="shared" si="0"/>
        <v>29.675613997114</v>
      </c>
      <c r="E15" s="157">
        <f t="shared" si="1"/>
        <v>-1949391.98</v>
      </c>
    </row>
    <row r="16" spans="1:5" ht="12.75">
      <c r="A16" s="43" t="s">
        <v>174</v>
      </c>
      <c r="B16" s="96">
        <v>986800</v>
      </c>
      <c r="C16" s="170">
        <v>573518.86</v>
      </c>
      <c r="D16" s="156">
        <f t="shared" si="0"/>
        <v>58.11905755978921</v>
      </c>
      <c r="E16" s="157">
        <f t="shared" si="1"/>
        <v>-413281.14</v>
      </c>
    </row>
    <row r="17" spans="1:5" ht="12.75">
      <c r="A17" s="43" t="s">
        <v>175</v>
      </c>
      <c r="B17" s="96">
        <v>1785200</v>
      </c>
      <c r="C17" s="170">
        <v>249089.16</v>
      </c>
      <c r="D17" s="156">
        <f t="shared" si="0"/>
        <v>13.95301142729106</v>
      </c>
      <c r="E17" s="157">
        <f t="shared" si="1"/>
        <v>-1536110.84</v>
      </c>
    </row>
    <row r="18" spans="1:5" ht="25.5">
      <c r="A18" s="97" t="s">
        <v>89</v>
      </c>
      <c r="B18" s="96">
        <v>0</v>
      </c>
      <c r="C18" s="170">
        <v>0</v>
      </c>
      <c r="D18" s="156" t="str">
        <f t="shared" si="0"/>
        <v>   </v>
      </c>
      <c r="E18" s="157">
        <f t="shared" si="1"/>
        <v>0</v>
      </c>
    </row>
    <row r="19" spans="1:5" ht="27" customHeight="1">
      <c r="A19" s="97" t="s">
        <v>28</v>
      </c>
      <c r="B19" s="96">
        <f>SUM(B20:B23)</f>
        <v>4306300</v>
      </c>
      <c r="C19" s="96">
        <f>SUM(C20:C23)</f>
        <v>850502.22</v>
      </c>
      <c r="D19" s="156">
        <f t="shared" si="0"/>
        <v>19.75018507767689</v>
      </c>
      <c r="E19" s="157">
        <f t="shared" si="1"/>
        <v>-3455797.7800000003</v>
      </c>
    </row>
    <row r="20" spans="1:5" ht="12.75">
      <c r="A20" s="98" t="s">
        <v>164</v>
      </c>
      <c r="B20" s="171">
        <v>872000</v>
      </c>
      <c r="C20" s="172">
        <v>449964.3</v>
      </c>
      <c r="D20" s="173">
        <f t="shared" si="0"/>
        <v>51.601410550458716</v>
      </c>
      <c r="E20" s="174">
        <f t="shared" si="1"/>
        <v>-422035.7</v>
      </c>
    </row>
    <row r="21" spans="1:5" ht="12.75">
      <c r="A21" s="43" t="s">
        <v>163</v>
      </c>
      <c r="B21" s="171">
        <v>1506300</v>
      </c>
      <c r="C21" s="172">
        <v>0</v>
      </c>
      <c r="D21" s="173">
        <f t="shared" si="0"/>
        <v>0</v>
      </c>
      <c r="E21" s="174">
        <f t="shared" si="1"/>
        <v>-1506300</v>
      </c>
    </row>
    <row r="22" spans="1:5" ht="24" customHeight="1">
      <c r="A22" s="175" t="s">
        <v>30</v>
      </c>
      <c r="B22" s="171">
        <v>938000</v>
      </c>
      <c r="C22" s="172">
        <v>6484.86</v>
      </c>
      <c r="D22" s="173">
        <f t="shared" si="0"/>
        <v>0.6913496801705756</v>
      </c>
      <c r="E22" s="174">
        <f t="shared" si="1"/>
        <v>-931515.14</v>
      </c>
    </row>
    <row r="23" spans="1:5" ht="42" customHeight="1">
      <c r="A23" s="16" t="s">
        <v>270</v>
      </c>
      <c r="B23" s="171">
        <v>990000</v>
      </c>
      <c r="C23" s="172">
        <v>394053.06</v>
      </c>
      <c r="D23" s="173">
        <f t="shared" si="0"/>
        <v>39.803339393939396</v>
      </c>
      <c r="E23" s="174">
        <f t="shared" si="1"/>
        <v>-595946.94</v>
      </c>
    </row>
    <row r="24" spans="1:5" ht="19.5" customHeight="1">
      <c r="A24" s="41" t="s">
        <v>92</v>
      </c>
      <c r="B24" s="171">
        <v>0</v>
      </c>
      <c r="C24" s="172">
        <v>0</v>
      </c>
      <c r="D24" s="173" t="str">
        <f t="shared" si="0"/>
        <v>   </v>
      </c>
      <c r="E24" s="174">
        <f t="shared" si="1"/>
        <v>0</v>
      </c>
    </row>
    <row r="25" spans="1:5" ht="15.75" customHeight="1">
      <c r="A25" s="175" t="s">
        <v>76</v>
      </c>
      <c r="B25" s="171">
        <f>SUM(B26:B27)</f>
        <v>262800</v>
      </c>
      <c r="C25" s="171">
        <f>SUM(C26:C27)</f>
        <v>265319.69</v>
      </c>
      <c r="D25" s="173">
        <f t="shared" si="0"/>
        <v>100.95878614916288</v>
      </c>
      <c r="E25" s="174">
        <f t="shared" si="1"/>
        <v>2519.6900000000023</v>
      </c>
    </row>
    <row r="26" spans="1:5" ht="15.75" customHeight="1">
      <c r="A26" s="16" t="s">
        <v>271</v>
      </c>
      <c r="B26" s="171">
        <v>0</v>
      </c>
      <c r="C26" s="171">
        <v>0</v>
      </c>
      <c r="D26" s="173" t="str">
        <f t="shared" si="0"/>
        <v>   </v>
      </c>
      <c r="E26" s="174">
        <f t="shared" si="1"/>
        <v>0</v>
      </c>
    </row>
    <row r="27" spans="1:5" ht="25.5" customHeight="1">
      <c r="A27" s="16" t="s">
        <v>316</v>
      </c>
      <c r="B27" s="171">
        <v>262800</v>
      </c>
      <c r="C27" s="172">
        <v>265319.69</v>
      </c>
      <c r="D27" s="173">
        <f t="shared" si="0"/>
        <v>100.95878614916288</v>
      </c>
      <c r="E27" s="174">
        <f t="shared" si="1"/>
        <v>2519.6900000000023</v>
      </c>
    </row>
    <row r="28" spans="1:5" ht="15" customHeight="1">
      <c r="A28" s="175" t="s">
        <v>31</v>
      </c>
      <c r="B28" s="171">
        <v>5100</v>
      </c>
      <c r="C28" s="171">
        <v>5100</v>
      </c>
      <c r="D28" s="173">
        <f t="shared" si="0"/>
        <v>100</v>
      </c>
      <c r="E28" s="174">
        <f t="shared" si="1"/>
        <v>0</v>
      </c>
    </row>
    <row r="29" spans="1:5" ht="12.75">
      <c r="A29" s="175" t="s">
        <v>32</v>
      </c>
      <c r="B29" s="171">
        <f>B30+B31</f>
        <v>0</v>
      </c>
      <c r="C29" s="171">
        <f>C30+C31</f>
        <v>-73108</v>
      </c>
      <c r="D29" s="173" t="str">
        <f t="shared" si="0"/>
        <v>   </v>
      </c>
      <c r="E29" s="174">
        <f t="shared" si="1"/>
        <v>-73108</v>
      </c>
    </row>
    <row r="30" spans="1:5" ht="13.5" customHeight="1">
      <c r="A30" s="175" t="s">
        <v>46</v>
      </c>
      <c r="B30" s="171">
        <v>0</v>
      </c>
      <c r="C30" s="171">
        <v>-73108</v>
      </c>
      <c r="D30" s="173" t="str">
        <f t="shared" si="0"/>
        <v>   </v>
      </c>
      <c r="E30" s="174">
        <f t="shared" si="1"/>
        <v>-73108</v>
      </c>
    </row>
    <row r="31" spans="1:5" ht="15.75" customHeight="1">
      <c r="A31" s="175" t="s">
        <v>111</v>
      </c>
      <c r="B31" s="171">
        <v>0</v>
      </c>
      <c r="C31" s="172">
        <v>0</v>
      </c>
      <c r="D31" s="173" t="str">
        <f t="shared" si="0"/>
        <v>   </v>
      </c>
      <c r="E31" s="174">
        <f t="shared" si="1"/>
        <v>0</v>
      </c>
    </row>
    <row r="32" spans="1:5" ht="15" customHeight="1">
      <c r="A32" s="176" t="s">
        <v>10</v>
      </c>
      <c r="B32" s="168">
        <f>SUM(B7,B9,B11,B13,B19,B25,B28,B29,)</f>
        <v>18971000</v>
      </c>
      <c r="C32" s="168">
        <f>SUM(C7,C9,C11,C13,C18,C19,C24,C25,C28,C29,)</f>
        <v>7706070.879999999</v>
      </c>
      <c r="D32" s="173">
        <f t="shared" si="0"/>
        <v>40.62026714458911</v>
      </c>
      <c r="E32" s="174">
        <f t="shared" si="1"/>
        <v>-11264929.120000001</v>
      </c>
    </row>
    <row r="33" spans="1:5" ht="18" customHeight="1">
      <c r="A33" s="177" t="s">
        <v>147</v>
      </c>
      <c r="B33" s="215">
        <f>B34+B35+B36+B39+B40+B41+B42+B45</f>
        <v>14413345.18</v>
      </c>
      <c r="C33" s="215">
        <f>C34+C35+C36+C39+C40+C41+C45+C42</f>
        <v>3856152.5</v>
      </c>
      <c r="D33" s="158">
        <f t="shared" si="0"/>
        <v>26.75404253379575</v>
      </c>
      <c r="E33" s="159">
        <f t="shared" si="1"/>
        <v>-10557192.68</v>
      </c>
    </row>
    <row r="34" spans="1:5" ht="15" customHeight="1">
      <c r="A34" s="178" t="s">
        <v>34</v>
      </c>
      <c r="B34" s="179">
        <v>5089900</v>
      </c>
      <c r="C34" s="179">
        <v>2962200</v>
      </c>
      <c r="D34" s="173">
        <f t="shared" si="0"/>
        <v>58.1976070256783</v>
      </c>
      <c r="E34" s="174">
        <f t="shared" si="1"/>
        <v>-2127700</v>
      </c>
    </row>
    <row r="35" spans="1:5" ht="24.75" customHeight="1">
      <c r="A35" s="175" t="s">
        <v>51</v>
      </c>
      <c r="B35" s="171">
        <v>285000</v>
      </c>
      <c r="C35" s="172">
        <v>217120</v>
      </c>
      <c r="D35" s="173">
        <f t="shared" si="0"/>
        <v>76.18245614035088</v>
      </c>
      <c r="E35" s="174">
        <f t="shared" si="1"/>
        <v>-67880</v>
      </c>
    </row>
    <row r="36" spans="1:5" ht="24.75" customHeight="1">
      <c r="A36" s="175" t="s">
        <v>157</v>
      </c>
      <c r="B36" s="171">
        <f>SUM(B37:B38)</f>
        <v>11900</v>
      </c>
      <c r="C36" s="171">
        <f>SUM(C37:C38)</f>
        <v>5185.5</v>
      </c>
      <c r="D36" s="173">
        <f t="shared" si="0"/>
        <v>43.57563025210084</v>
      </c>
      <c r="E36" s="174">
        <f t="shared" si="1"/>
        <v>-6714.5</v>
      </c>
    </row>
    <row r="37" spans="1:5" ht="13.5" customHeight="1">
      <c r="A37" s="124" t="s">
        <v>178</v>
      </c>
      <c r="B37" s="171">
        <v>900</v>
      </c>
      <c r="C37" s="172">
        <v>0</v>
      </c>
      <c r="D37" s="173">
        <f>IF(B37=0,"   ",C37/B37*100)</f>
        <v>0</v>
      </c>
      <c r="E37" s="174">
        <f>C37-B37</f>
        <v>-900</v>
      </c>
    </row>
    <row r="38" spans="1:5" ht="24.75" customHeight="1">
      <c r="A38" s="124" t="s">
        <v>179</v>
      </c>
      <c r="B38" s="171">
        <v>11000</v>
      </c>
      <c r="C38" s="172">
        <v>5185.5</v>
      </c>
      <c r="D38" s="173">
        <f>IF(B38=0,"   ",C38/B38*100)</f>
        <v>47.14090909090909</v>
      </c>
      <c r="E38" s="174">
        <f>C38-B38</f>
        <v>-5814.5</v>
      </c>
    </row>
    <row r="39" spans="1:5" ht="42" customHeight="1">
      <c r="A39" s="175" t="s">
        <v>124</v>
      </c>
      <c r="B39" s="171">
        <v>202477</v>
      </c>
      <c r="C39" s="172">
        <v>0</v>
      </c>
      <c r="D39" s="173">
        <f t="shared" si="0"/>
        <v>0</v>
      </c>
      <c r="E39" s="174">
        <f t="shared" si="1"/>
        <v>-202477</v>
      </c>
    </row>
    <row r="40" spans="1:5" ht="27" customHeight="1">
      <c r="A40" s="175" t="s">
        <v>220</v>
      </c>
      <c r="B40" s="213">
        <v>6407468.18</v>
      </c>
      <c r="C40" s="210">
        <v>0</v>
      </c>
      <c r="D40" s="211">
        <f>IF(B40=0,"   ",C40/B40)</f>
        <v>0</v>
      </c>
      <c r="E40" s="212">
        <f>C40-B40</f>
        <v>-6407468.18</v>
      </c>
    </row>
    <row r="41" spans="1:5" ht="25.5" customHeight="1">
      <c r="A41" s="175" t="s">
        <v>142</v>
      </c>
      <c r="B41" s="171">
        <v>1615800</v>
      </c>
      <c r="C41" s="172">
        <v>0</v>
      </c>
      <c r="D41" s="173">
        <f t="shared" si="0"/>
        <v>0</v>
      </c>
      <c r="E41" s="174">
        <f t="shared" si="1"/>
        <v>-1615800</v>
      </c>
    </row>
    <row r="42" spans="1:5" ht="15" customHeight="1">
      <c r="A42" s="175" t="s">
        <v>55</v>
      </c>
      <c r="B42" s="171">
        <f>B44+B43</f>
        <v>800800</v>
      </c>
      <c r="C42" s="171">
        <f>C44+C43</f>
        <v>671647</v>
      </c>
      <c r="D42" s="173">
        <f t="shared" si="0"/>
        <v>83.872002997003</v>
      </c>
      <c r="E42" s="174">
        <f t="shared" si="1"/>
        <v>-129153</v>
      </c>
    </row>
    <row r="43" spans="1:5" ht="15" customHeight="1">
      <c r="A43" s="16" t="s">
        <v>237</v>
      </c>
      <c r="B43" s="171">
        <v>42800</v>
      </c>
      <c r="C43" s="171">
        <v>42800</v>
      </c>
      <c r="D43" s="173">
        <f t="shared" si="0"/>
        <v>100</v>
      </c>
      <c r="E43" s="174">
        <f t="shared" si="1"/>
        <v>0</v>
      </c>
    </row>
    <row r="44" spans="1:5" ht="18" customHeight="1">
      <c r="A44" s="175" t="s">
        <v>110</v>
      </c>
      <c r="B44" s="171">
        <v>758000</v>
      </c>
      <c r="C44" s="172">
        <v>628847</v>
      </c>
      <c r="D44" s="173">
        <f t="shared" si="0"/>
        <v>82.96134564643799</v>
      </c>
      <c r="E44" s="174">
        <f t="shared" si="1"/>
        <v>-129153</v>
      </c>
    </row>
    <row r="45" spans="1:5" ht="18" customHeight="1">
      <c r="A45" s="175" t="s">
        <v>230</v>
      </c>
      <c r="B45" s="171">
        <v>0</v>
      </c>
      <c r="C45" s="172">
        <v>0</v>
      </c>
      <c r="D45" s="173" t="str">
        <f t="shared" si="0"/>
        <v>   </v>
      </c>
      <c r="E45" s="174">
        <f t="shared" si="1"/>
        <v>0</v>
      </c>
    </row>
    <row r="46" spans="1:5" ht="29.25" customHeight="1">
      <c r="A46" s="176" t="s">
        <v>11</v>
      </c>
      <c r="B46" s="168">
        <f>SUM(B32,B33,)</f>
        <v>33384345.18</v>
      </c>
      <c r="C46" s="168">
        <f>SUM(C32,C33,)</f>
        <v>11562223.379999999</v>
      </c>
      <c r="D46" s="158">
        <f t="shared" si="0"/>
        <v>34.633668318666714</v>
      </c>
      <c r="E46" s="159">
        <f t="shared" si="1"/>
        <v>-21822121.8</v>
      </c>
    </row>
    <row r="47" spans="1:5" ht="16.5" customHeight="1">
      <c r="A47" s="30"/>
      <c r="B47" s="179"/>
      <c r="C47" s="171"/>
      <c r="D47" s="173" t="str">
        <f t="shared" si="0"/>
        <v>   </v>
      </c>
      <c r="E47" s="174"/>
    </row>
    <row r="48" spans="1:5" ht="12.75">
      <c r="A48" s="180" t="s">
        <v>12</v>
      </c>
      <c r="B48" s="168"/>
      <c r="C48" s="181"/>
      <c r="D48" s="173" t="str">
        <f t="shared" si="0"/>
        <v>   </v>
      </c>
      <c r="E48" s="174"/>
    </row>
    <row r="49" spans="1:5" ht="18" customHeight="1">
      <c r="A49" s="175" t="s">
        <v>35</v>
      </c>
      <c r="B49" s="171">
        <f>SUM(B50,B52,B53)</f>
        <v>3273575</v>
      </c>
      <c r="C49" s="171">
        <f>SUM(C50,C52,C53)</f>
        <v>1608623.39</v>
      </c>
      <c r="D49" s="173">
        <f t="shared" si="0"/>
        <v>49.13965282603881</v>
      </c>
      <c r="E49" s="174">
        <f t="shared" si="1"/>
        <v>-1664951.61</v>
      </c>
    </row>
    <row r="50" spans="1:5" ht="16.5" customHeight="1">
      <c r="A50" s="175" t="s">
        <v>36</v>
      </c>
      <c r="B50" s="171">
        <v>2705175</v>
      </c>
      <c r="C50" s="172">
        <v>1518599.39</v>
      </c>
      <c r="D50" s="173">
        <f t="shared" si="0"/>
        <v>56.13682626817119</v>
      </c>
      <c r="E50" s="174">
        <f t="shared" si="1"/>
        <v>-1186575.61</v>
      </c>
    </row>
    <row r="51" spans="1:5" ht="12.75">
      <c r="A51" s="175" t="s">
        <v>122</v>
      </c>
      <c r="B51" s="171">
        <v>1485375</v>
      </c>
      <c r="C51" s="181">
        <v>868432.51</v>
      </c>
      <c r="D51" s="173">
        <f t="shared" si="0"/>
        <v>58.46553967853235</v>
      </c>
      <c r="E51" s="174">
        <f t="shared" si="1"/>
        <v>-616942.49</v>
      </c>
    </row>
    <row r="52" spans="1:5" ht="12.75">
      <c r="A52" s="175" t="s">
        <v>96</v>
      </c>
      <c r="B52" s="171">
        <v>368400</v>
      </c>
      <c r="C52" s="181">
        <v>0</v>
      </c>
      <c r="D52" s="173">
        <f t="shared" si="0"/>
        <v>0</v>
      </c>
      <c r="E52" s="174">
        <f t="shared" si="1"/>
        <v>-368400</v>
      </c>
    </row>
    <row r="53" spans="1:5" ht="12.75">
      <c r="A53" s="175" t="s">
        <v>52</v>
      </c>
      <c r="B53" s="172">
        <f>SUM(B54+B57+B55+B56)</f>
        <v>200000</v>
      </c>
      <c r="C53" s="172">
        <f>SUM(C54+C57+C55+C56)</f>
        <v>90024</v>
      </c>
      <c r="D53" s="173">
        <f t="shared" si="0"/>
        <v>45.012</v>
      </c>
      <c r="E53" s="174">
        <f t="shared" si="1"/>
        <v>-109976</v>
      </c>
    </row>
    <row r="54" spans="1:5" ht="26.25" customHeight="1">
      <c r="A54" s="120" t="s">
        <v>243</v>
      </c>
      <c r="B54" s="171">
        <v>0</v>
      </c>
      <c r="C54" s="171">
        <v>0</v>
      </c>
      <c r="D54" s="173" t="str">
        <f t="shared" si="0"/>
        <v>   </v>
      </c>
      <c r="E54" s="174">
        <f t="shared" si="1"/>
        <v>0</v>
      </c>
    </row>
    <row r="55" spans="1:5" ht="26.25" customHeight="1">
      <c r="A55" s="120" t="s">
        <v>244</v>
      </c>
      <c r="B55" s="171">
        <v>0</v>
      </c>
      <c r="C55" s="171">
        <v>0</v>
      </c>
      <c r="D55" s="173" t="str">
        <f t="shared" si="0"/>
        <v>   </v>
      </c>
      <c r="E55" s="174">
        <f t="shared" si="1"/>
        <v>0</v>
      </c>
    </row>
    <row r="56" spans="1:5" ht="26.25" customHeight="1">
      <c r="A56" s="120" t="s">
        <v>263</v>
      </c>
      <c r="B56" s="171">
        <v>200000</v>
      </c>
      <c r="C56" s="171">
        <v>90024</v>
      </c>
      <c r="D56" s="173">
        <f t="shared" si="0"/>
        <v>45.012</v>
      </c>
      <c r="E56" s="174">
        <f t="shared" si="1"/>
        <v>-109976</v>
      </c>
    </row>
    <row r="57" spans="1:5" ht="12.75">
      <c r="A57" s="16" t="s">
        <v>253</v>
      </c>
      <c r="B57" s="171">
        <v>0</v>
      </c>
      <c r="C57" s="171">
        <v>0</v>
      </c>
      <c r="D57" s="173" t="str">
        <f t="shared" si="0"/>
        <v>   </v>
      </c>
      <c r="E57" s="174">
        <f t="shared" si="1"/>
        <v>0</v>
      </c>
    </row>
    <row r="58" spans="1:5" ht="21" customHeight="1">
      <c r="A58" s="175" t="s">
        <v>49</v>
      </c>
      <c r="B58" s="172">
        <f>SUM(B59)</f>
        <v>285000</v>
      </c>
      <c r="C58" s="172">
        <f>SUM(C59)</f>
        <v>177870.82</v>
      </c>
      <c r="D58" s="173">
        <f t="shared" si="0"/>
        <v>62.410814035087725</v>
      </c>
      <c r="E58" s="174">
        <f t="shared" si="1"/>
        <v>-107129.18</v>
      </c>
    </row>
    <row r="59" spans="1:5" ht="17.25" customHeight="1">
      <c r="A59" s="175" t="s">
        <v>108</v>
      </c>
      <c r="B59" s="171">
        <v>285000</v>
      </c>
      <c r="C59" s="172">
        <v>177870.82</v>
      </c>
      <c r="D59" s="173">
        <f t="shared" si="0"/>
        <v>62.410814035087725</v>
      </c>
      <c r="E59" s="174">
        <f t="shared" si="1"/>
        <v>-107129.18</v>
      </c>
    </row>
    <row r="60" spans="1:5" ht="15.75" customHeight="1">
      <c r="A60" s="175" t="s">
        <v>37</v>
      </c>
      <c r="B60" s="172">
        <f>SUM(B61+B64)</f>
        <v>929200</v>
      </c>
      <c r="C60" s="172">
        <f>SUM(C61+C64)</f>
        <v>464530.2</v>
      </c>
      <c r="D60" s="173">
        <f t="shared" si="0"/>
        <v>49.99248816185967</v>
      </c>
      <c r="E60" s="174">
        <f t="shared" si="1"/>
        <v>-464669.8</v>
      </c>
    </row>
    <row r="61" spans="1:5" ht="27" customHeight="1">
      <c r="A61" s="175" t="s">
        <v>86</v>
      </c>
      <c r="B61" s="171">
        <f>B62</f>
        <v>875200</v>
      </c>
      <c r="C61" s="171">
        <f>C62</f>
        <v>464530.2</v>
      </c>
      <c r="D61" s="173">
        <f t="shared" si="0"/>
        <v>53.077033820840946</v>
      </c>
      <c r="E61" s="174">
        <f t="shared" si="1"/>
        <v>-410669.8</v>
      </c>
    </row>
    <row r="62" spans="1:5" ht="16.5" customHeight="1">
      <c r="A62" s="175" t="s">
        <v>97</v>
      </c>
      <c r="B62" s="171">
        <v>875200</v>
      </c>
      <c r="C62" s="171">
        <v>464530.2</v>
      </c>
      <c r="D62" s="173">
        <f t="shared" si="0"/>
        <v>53.077033820840946</v>
      </c>
      <c r="E62" s="174">
        <f t="shared" si="1"/>
        <v>-410669.8</v>
      </c>
    </row>
    <row r="63" spans="1:5" ht="14.25" customHeight="1">
      <c r="A63" s="175" t="s">
        <v>122</v>
      </c>
      <c r="B63" s="171">
        <v>652900</v>
      </c>
      <c r="C63" s="172">
        <v>333450.9</v>
      </c>
      <c r="D63" s="173">
        <f t="shared" si="0"/>
        <v>51.07227753101547</v>
      </c>
      <c r="E63" s="174">
        <f t="shared" si="1"/>
        <v>-319449.1</v>
      </c>
    </row>
    <row r="64" spans="1:5" ht="17.25" customHeight="1">
      <c r="A64" s="175" t="s">
        <v>129</v>
      </c>
      <c r="B64" s="171">
        <v>54000</v>
      </c>
      <c r="C64" s="172">
        <v>0</v>
      </c>
      <c r="D64" s="173">
        <f t="shared" si="0"/>
        <v>0</v>
      </c>
      <c r="E64" s="174">
        <f t="shared" si="1"/>
        <v>-54000</v>
      </c>
    </row>
    <row r="65" spans="1:5" ht="18" customHeight="1">
      <c r="A65" s="175" t="s">
        <v>38</v>
      </c>
      <c r="B65" s="171">
        <f>B71+B66+B69+B88</f>
        <v>5086933</v>
      </c>
      <c r="C65" s="171">
        <f>C71+C66+C69+C88</f>
        <v>1936981.1</v>
      </c>
      <c r="D65" s="173">
        <f t="shared" si="0"/>
        <v>38.077582307453234</v>
      </c>
      <c r="E65" s="174">
        <f t="shared" si="1"/>
        <v>-3149951.9</v>
      </c>
    </row>
    <row r="66" spans="1:5" ht="18" customHeight="1">
      <c r="A66" s="87" t="s">
        <v>180</v>
      </c>
      <c r="B66" s="25">
        <f>SUM(B68,B67)</f>
        <v>71000</v>
      </c>
      <c r="C66" s="25">
        <f>SUM(C68,C67)</f>
        <v>22000</v>
      </c>
      <c r="D66" s="173">
        <f>IF(B66=0,"   ",C66/B66*100)</f>
        <v>30.985915492957744</v>
      </c>
      <c r="E66" s="174">
        <f>C66-B66</f>
        <v>-49000</v>
      </c>
    </row>
    <row r="67" spans="1:5" ht="18" customHeight="1">
      <c r="A67" s="87" t="s">
        <v>188</v>
      </c>
      <c r="B67" s="25">
        <v>60000</v>
      </c>
      <c r="C67" s="25">
        <v>16814.5</v>
      </c>
      <c r="D67" s="173">
        <f>IF(B67=0,"   ",C67/B67*100)</f>
        <v>28.024166666666666</v>
      </c>
      <c r="E67" s="174">
        <f>C67-B67</f>
        <v>-43185.5</v>
      </c>
    </row>
    <row r="68" spans="1:5" ht="18" customHeight="1">
      <c r="A68" s="87" t="s">
        <v>181</v>
      </c>
      <c r="B68" s="25">
        <v>11000</v>
      </c>
      <c r="C68" s="171">
        <v>5185.5</v>
      </c>
      <c r="D68" s="173">
        <f>IF(B68=0,"   ",C68/B68*100)</f>
        <v>47.14090909090909</v>
      </c>
      <c r="E68" s="174">
        <f>C68-B68</f>
        <v>-5814.5</v>
      </c>
    </row>
    <row r="69" spans="1:5" ht="18" customHeight="1">
      <c r="A69" s="87" t="s">
        <v>204</v>
      </c>
      <c r="B69" s="25">
        <f>SUM(B70)</f>
        <v>0</v>
      </c>
      <c r="C69" s="25">
        <f>SUM(C70)</f>
        <v>0</v>
      </c>
      <c r="D69" s="173" t="str">
        <f>IF(B69=0,"   ",C69/B69*100)</f>
        <v>   </v>
      </c>
      <c r="E69" s="174">
        <f>C69-B69</f>
        <v>0</v>
      </c>
    </row>
    <row r="70" spans="1:5" ht="18" customHeight="1">
      <c r="A70" s="87" t="s">
        <v>205</v>
      </c>
      <c r="B70" s="25">
        <v>0</v>
      </c>
      <c r="C70" s="171">
        <v>0</v>
      </c>
      <c r="D70" s="173" t="str">
        <f>IF(B70=0,"   ",C70/B70*100)</f>
        <v>   </v>
      </c>
      <c r="E70" s="174">
        <f>C70-B70</f>
        <v>0</v>
      </c>
    </row>
    <row r="71" spans="1:5" ht="18.75" customHeight="1">
      <c r="A71" s="183" t="s">
        <v>134</v>
      </c>
      <c r="B71" s="171">
        <f>B72+B76+B77+B78+B79+B73+B74+B82+B86+B75+B80+B81</f>
        <v>5015933</v>
      </c>
      <c r="C71" s="171">
        <f>C72+C76+C77+C78+C79+C73+C74+C82+C86+C75+C80+C81</f>
        <v>1914981.1</v>
      </c>
      <c r="D71" s="173">
        <f t="shared" si="0"/>
        <v>38.17796409960022</v>
      </c>
      <c r="E71" s="174">
        <f t="shared" si="1"/>
        <v>-3100951.9</v>
      </c>
    </row>
    <row r="72" spans="1:5" ht="18" customHeight="1">
      <c r="A72" s="184" t="s">
        <v>160</v>
      </c>
      <c r="B72" s="171">
        <v>0</v>
      </c>
      <c r="C72" s="171">
        <v>0</v>
      </c>
      <c r="D72" s="173" t="str">
        <f t="shared" si="0"/>
        <v>   </v>
      </c>
      <c r="E72" s="174">
        <f t="shared" si="1"/>
        <v>0</v>
      </c>
    </row>
    <row r="73" spans="1:5" ht="15" customHeight="1">
      <c r="A73" s="184" t="s">
        <v>156</v>
      </c>
      <c r="B73" s="171">
        <v>0</v>
      </c>
      <c r="C73" s="171">
        <v>0</v>
      </c>
      <c r="D73" s="173" t="str">
        <f t="shared" si="0"/>
        <v>   </v>
      </c>
      <c r="E73" s="174">
        <f t="shared" si="1"/>
        <v>0</v>
      </c>
    </row>
    <row r="74" spans="1:5" ht="14.25" customHeight="1">
      <c r="A74" s="184" t="s">
        <v>158</v>
      </c>
      <c r="B74" s="171">
        <v>440000</v>
      </c>
      <c r="C74" s="171">
        <v>99000</v>
      </c>
      <c r="D74" s="173">
        <f t="shared" si="0"/>
        <v>22.5</v>
      </c>
      <c r="E74" s="174">
        <f t="shared" si="1"/>
        <v>-341000</v>
      </c>
    </row>
    <row r="75" spans="1:5" ht="13.5" customHeight="1">
      <c r="A75" s="143" t="s">
        <v>246</v>
      </c>
      <c r="B75" s="171">
        <v>0</v>
      </c>
      <c r="C75" s="171">
        <v>0</v>
      </c>
      <c r="D75" s="173" t="str">
        <f t="shared" si="0"/>
        <v>   </v>
      </c>
      <c r="E75" s="174">
        <f t="shared" si="1"/>
        <v>0</v>
      </c>
    </row>
    <row r="76" spans="1:5" ht="25.5">
      <c r="A76" s="182" t="s">
        <v>135</v>
      </c>
      <c r="B76" s="171">
        <v>758000</v>
      </c>
      <c r="C76" s="171">
        <v>556971</v>
      </c>
      <c r="D76" s="173">
        <f t="shared" si="0"/>
        <v>73.47902374670184</v>
      </c>
      <c r="E76" s="174">
        <f t="shared" si="1"/>
        <v>-201029</v>
      </c>
    </row>
    <row r="77" spans="1:5" ht="22.5" customHeight="1">
      <c r="A77" s="182" t="s">
        <v>136</v>
      </c>
      <c r="B77" s="171">
        <v>1960000</v>
      </c>
      <c r="C77" s="171">
        <v>1190106</v>
      </c>
      <c r="D77" s="173">
        <f t="shared" si="0"/>
        <v>60.719693877551016</v>
      </c>
      <c r="E77" s="174">
        <f t="shared" si="1"/>
        <v>-769894</v>
      </c>
    </row>
    <row r="78" spans="1:5" ht="25.5" customHeight="1">
      <c r="A78" s="182" t="s">
        <v>149</v>
      </c>
      <c r="B78" s="171">
        <v>1615800</v>
      </c>
      <c r="C78" s="171">
        <v>0</v>
      </c>
      <c r="D78" s="173">
        <f t="shared" si="0"/>
        <v>0</v>
      </c>
      <c r="E78" s="174">
        <f t="shared" si="1"/>
        <v>-1615800</v>
      </c>
    </row>
    <row r="79" spans="1:5" ht="17.25" customHeight="1">
      <c r="A79" s="182" t="s">
        <v>196</v>
      </c>
      <c r="B79" s="171">
        <v>179533</v>
      </c>
      <c r="C79" s="171">
        <v>68904.1</v>
      </c>
      <c r="D79" s="173">
        <f t="shared" si="0"/>
        <v>38.37962937175895</v>
      </c>
      <c r="E79" s="174">
        <f t="shared" si="1"/>
        <v>-110628.9</v>
      </c>
    </row>
    <row r="80" spans="1:5" ht="15" customHeight="1">
      <c r="A80" s="120" t="s">
        <v>247</v>
      </c>
      <c r="B80" s="171">
        <v>0</v>
      </c>
      <c r="C80" s="171">
        <v>0</v>
      </c>
      <c r="D80" s="173" t="str">
        <f t="shared" si="0"/>
        <v>   </v>
      </c>
      <c r="E80" s="174">
        <f t="shared" si="1"/>
        <v>0</v>
      </c>
    </row>
    <row r="81" spans="1:5" ht="17.25" customHeight="1">
      <c r="A81" s="120" t="s">
        <v>245</v>
      </c>
      <c r="B81" s="171">
        <v>0</v>
      </c>
      <c r="C81" s="171">
        <v>0</v>
      </c>
      <c r="D81" s="173" t="str">
        <f t="shared" si="0"/>
        <v>   </v>
      </c>
      <c r="E81" s="174">
        <f t="shared" si="1"/>
        <v>0</v>
      </c>
    </row>
    <row r="82" spans="1:5" ht="18" customHeight="1">
      <c r="A82" s="182" t="s">
        <v>224</v>
      </c>
      <c r="B82" s="214">
        <f>B83+B85+B84</f>
        <v>0</v>
      </c>
      <c r="C82" s="214">
        <f>C83+C85+C84</f>
        <v>0</v>
      </c>
      <c r="D82" s="211" t="str">
        <f aca="true" t="shared" si="2" ref="D82:D89">IF(B82=0,"   ",C82/B82)</f>
        <v>   </v>
      </c>
      <c r="E82" s="212">
        <f t="shared" si="1"/>
        <v>0</v>
      </c>
    </row>
    <row r="83" spans="1:5" ht="15">
      <c r="A83" s="182" t="s">
        <v>221</v>
      </c>
      <c r="B83" s="214">
        <v>0</v>
      </c>
      <c r="C83" s="214">
        <v>0</v>
      </c>
      <c r="D83" s="211" t="str">
        <f t="shared" si="2"/>
        <v>   </v>
      </c>
      <c r="E83" s="212">
        <f t="shared" si="1"/>
        <v>0</v>
      </c>
    </row>
    <row r="84" spans="1:5" ht="15">
      <c r="A84" s="182" t="s">
        <v>222</v>
      </c>
      <c r="B84" s="214">
        <v>0</v>
      </c>
      <c r="C84" s="214">
        <v>0</v>
      </c>
      <c r="D84" s="211" t="str">
        <f t="shared" si="2"/>
        <v>   </v>
      </c>
      <c r="E84" s="212">
        <f t="shared" si="1"/>
        <v>0</v>
      </c>
    </row>
    <row r="85" spans="1:5" ht="15">
      <c r="A85" s="182" t="s">
        <v>223</v>
      </c>
      <c r="B85" s="214">
        <v>0</v>
      </c>
      <c r="C85" s="214">
        <v>0</v>
      </c>
      <c r="D85" s="211" t="str">
        <f t="shared" si="2"/>
        <v>   </v>
      </c>
      <c r="E85" s="212">
        <f t="shared" si="1"/>
        <v>0</v>
      </c>
    </row>
    <row r="86" spans="1:5" ht="15">
      <c r="A86" s="182" t="s">
        <v>228</v>
      </c>
      <c r="B86" s="214">
        <v>62600</v>
      </c>
      <c r="C86" s="214">
        <f>C87</f>
        <v>0</v>
      </c>
      <c r="D86" s="211">
        <f t="shared" si="2"/>
        <v>0</v>
      </c>
      <c r="E86" s="212">
        <f>C86-B86</f>
        <v>-62600</v>
      </c>
    </row>
    <row r="87" spans="1:5" ht="15">
      <c r="A87" s="182" t="s">
        <v>229</v>
      </c>
      <c r="B87" s="214">
        <v>62600</v>
      </c>
      <c r="C87" s="214">
        <v>0</v>
      </c>
      <c r="D87" s="211">
        <f t="shared" si="2"/>
        <v>0</v>
      </c>
      <c r="E87" s="212">
        <f>C87-B87</f>
        <v>-62600</v>
      </c>
    </row>
    <row r="88" spans="1:5" ht="15">
      <c r="A88" s="111" t="s">
        <v>217</v>
      </c>
      <c r="B88" s="214">
        <f>B89</f>
        <v>0</v>
      </c>
      <c r="C88" s="214">
        <f>C89</f>
        <v>0</v>
      </c>
      <c r="D88" s="211" t="str">
        <f t="shared" si="2"/>
        <v>   </v>
      </c>
      <c r="E88" s="212">
        <f>C88-B88</f>
        <v>0</v>
      </c>
    </row>
    <row r="89" spans="1:5" ht="26.25">
      <c r="A89" s="87" t="s">
        <v>218</v>
      </c>
      <c r="B89" s="214">
        <v>0</v>
      </c>
      <c r="C89" s="214">
        <v>0</v>
      </c>
      <c r="D89" s="211" t="str">
        <f t="shared" si="2"/>
        <v>   </v>
      </c>
      <c r="E89" s="212">
        <f>C89-B89</f>
        <v>0</v>
      </c>
    </row>
    <row r="90" spans="1:5" ht="18" customHeight="1">
      <c r="A90" s="175" t="s">
        <v>13</v>
      </c>
      <c r="B90" s="171">
        <f>SUM(B91,B94,B100)</f>
        <v>21031322.18</v>
      </c>
      <c r="C90" s="171">
        <f>SUM(C91,C94,C100)</f>
        <v>6104392.8</v>
      </c>
      <c r="D90" s="173">
        <f t="shared" si="0"/>
        <v>29.025245049999988</v>
      </c>
      <c r="E90" s="174">
        <f t="shared" si="1"/>
        <v>-14926929.379999999</v>
      </c>
    </row>
    <row r="91" spans="1:5" ht="18.75" customHeight="1">
      <c r="A91" s="98" t="s">
        <v>14</v>
      </c>
      <c r="B91" s="99">
        <f>SUM(B92:B93)</f>
        <v>1160000</v>
      </c>
      <c r="C91" s="99">
        <f>SUM(C92:C93)</f>
        <v>562817.87</v>
      </c>
      <c r="D91" s="173">
        <f t="shared" si="0"/>
        <v>48.51878189655172</v>
      </c>
      <c r="E91" s="174">
        <f t="shared" si="1"/>
        <v>-597182.13</v>
      </c>
    </row>
    <row r="92" spans="1:5" ht="12.75">
      <c r="A92" s="175" t="s">
        <v>102</v>
      </c>
      <c r="B92" s="171">
        <v>800000</v>
      </c>
      <c r="C92" s="172">
        <v>203417.87</v>
      </c>
      <c r="D92" s="173">
        <f t="shared" si="0"/>
        <v>25.42723375</v>
      </c>
      <c r="E92" s="174">
        <f t="shared" si="1"/>
        <v>-596582.13</v>
      </c>
    </row>
    <row r="93" spans="1:5" ht="12.75">
      <c r="A93" s="175" t="s">
        <v>225</v>
      </c>
      <c r="B93" s="171">
        <v>360000</v>
      </c>
      <c r="C93" s="172">
        <v>359400</v>
      </c>
      <c r="D93" s="173">
        <f t="shared" si="0"/>
        <v>99.83333333333333</v>
      </c>
      <c r="E93" s="174">
        <f t="shared" si="1"/>
        <v>-600</v>
      </c>
    </row>
    <row r="94" spans="1:5" ht="18" customHeight="1">
      <c r="A94" s="98" t="s">
        <v>64</v>
      </c>
      <c r="B94" s="99">
        <f>SUM(B95:B99)</f>
        <v>1436000</v>
      </c>
      <c r="C94" s="99">
        <f>SUM(C95:C99)</f>
        <v>484989.22</v>
      </c>
      <c r="D94" s="173">
        <f t="shared" si="0"/>
        <v>33.77362256267409</v>
      </c>
      <c r="E94" s="174">
        <f t="shared" si="1"/>
        <v>-951010.78</v>
      </c>
    </row>
    <row r="95" spans="1:5" ht="12.75">
      <c r="A95" s="175" t="s">
        <v>150</v>
      </c>
      <c r="B95" s="171">
        <v>286000</v>
      </c>
      <c r="C95" s="171">
        <v>121905.15</v>
      </c>
      <c r="D95" s="173">
        <f t="shared" si="0"/>
        <v>42.62417832167832</v>
      </c>
      <c r="E95" s="174">
        <f t="shared" si="1"/>
        <v>-164094.85</v>
      </c>
    </row>
    <row r="96" spans="1:5" ht="12.75">
      <c r="A96" s="175" t="s">
        <v>169</v>
      </c>
      <c r="B96" s="171">
        <v>250000</v>
      </c>
      <c r="C96" s="171">
        <v>160740.72</v>
      </c>
      <c r="D96" s="173">
        <f t="shared" si="0"/>
        <v>64.296288</v>
      </c>
      <c r="E96" s="174">
        <f t="shared" si="1"/>
        <v>-89259.28</v>
      </c>
    </row>
    <row r="97" spans="1:5" ht="25.5">
      <c r="A97" s="120" t="s">
        <v>234</v>
      </c>
      <c r="B97" s="171">
        <v>0</v>
      </c>
      <c r="C97" s="171"/>
      <c r="D97" s="173"/>
      <c r="E97" s="174"/>
    </row>
    <row r="98" spans="1:5" ht="25.5">
      <c r="A98" s="120" t="s">
        <v>268</v>
      </c>
      <c r="B98" s="171">
        <v>300000</v>
      </c>
      <c r="C98" s="171">
        <v>0</v>
      </c>
      <c r="D98" s="173">
        <f t="shared" si="0"/>
        <v>0</v>
      </c>
      <c r="E98" s="174">
        <f t="shared" si="1"/>
        <v>-300000</v>
      </c>
    </row>
    <row r="99" spans="1:5" ht="12.75">
      <c r="A99" s="175" t="s">
        <v>140</v>
      </c>
      <c r="B99" s="171">
        <v>600000</v>
      </c>
      <c r="C99" s="171">
        <v>202343.35</v>
      </c>
      <c r="D99" s="173">
        <f t="shared" si="0"/>
        <v>33.72389166666667</v>
      </c>
      <c r="E99" s="174">
        <f t="shared" si="1"/>
        <v>-397656.65</v>
      </c>
    </row>
    <row r="100" spans="1:5" ht="16.5" customHeight="1">
      <c r="A100" s="98" t="s">
        <v>63</v>
      </c>
      <c r="B100" s="99">
        <f>B101+B102+B103+B104+B105+B106+B110</f>
        <v>18435322.18</v>
      </c>
      <c r="C100" s="99">
        <f>C101+C102+C103+C104+C105+C106+C110</f>
        <v>5056585.71</v>
      </c>
      <c r="D100" s="173">
        <f t="shared" si="0"/>
        <v>27.42878947613814</v>
      </c>
      <c r="E100" s="174">
        <f t="shared" si="1"/>
        <v>-13378736.469999999</v>
      </c>
    </row>
    <row r="101" spans="1:5" ht="12.75">
      <c r="A101" s="175" t="s">
        <v>65</v>
      </c>
      <c r="B101" s="171">
        <v>4978300</v>
      </c>
      <c r="C101" s="172">
        <v>2185108.32</v>
      </c>
      <c r="D101" s="173">
        <f t="shared" si="0"/>
        <v>43.892660546772994</v>
      </c>
      <c r="E101" s="174">
        <f t="shared" si="1"/>
        <v>-2793191.68</v>
      </c>
    </row>
    <row r="102" spans="1:5" ht="12.75">
      <c r="A102" s="175" t="s">
        <v>66</v>
      </c>
      <c r="B102" s="171">
        <v>250000</v>
      </c>
      <c r="C102" s="172">
        <v>180000</v>
      </c>
      <c r="D102" s="173">
        <f aca="true" t="shared" si="3" ref="D102:D123">IF(B102=0,"   ",C102/B102*100)</f>
        <v>72</v>
      </c>
      <c r="E102" s="174">
        <f t="shared" si="1"/>
        <v>-70000</v>
      </c>
    </row>
    <row r="103" spans="1:5" ht="12.75">
      <c r="A103" s="175" t="s">
        <v>67</v>
      </c>
      <c r="B103" s="171">
        <v>399900</v>
      </c>
      <c r="C103" s="172">
        <v>109800.49</v>
      </c>
      <c r="D103" s="173">
        <f t="shared" si="3"/>
        <v>27.456986746686674</v>
      </c>
      <c r="E103" s="174">
        <f t="shared" si="1"/>
        <v>-290099.51</v>
      </c>
    </row>
    <row r="104" spans="1:5" ht="12.75">
      <c r="A104" s="175" t="s">
        <v>68</v>
      </c>
      <c r="B104" s="171">
        <v>6057577</v>
      </c>
      <c r="C104" s="172">
        <v>2519031.65</v>
      </c>
      <c r="D104" s="173">
        <f t="shared" si="3"/>
        <v>41.584806103166336</v>
      </c>
      <c r="E104" s="174">
        <f t="shared" si="1"/>
        <v>-3538545.35</v>
      </c>
    </row>
    <row r="105" spans="1:5" ht="14.25" customHeight="1">
      <c r="A105" s="175" t="s">
        <v>95</v>
      </c>
      <c r="B105" s="171">
        <v>139600</v>
      </c>
      <c r="C105" s="172">
        <v>62645.25</v>
      </c>
      <c r="D105" s="173">
        <f t="shared" si="3"/>
        <v>44.87482091690544</v>
      </c>
      <c r="E105" s="174">
        <f t="shared" si="1"/>
        <v>-76954.75</v>
      </c>
    </row>
    <row r="106" spans="1:5" ht="18" customHeight="1">
      <c r="A106" s="182" t="s">
        <v>224</v>
      </c>
      <c r="B106" s="214">
        <f>B107+B109+B108</f>
        <v>6609945.18</v>
      </c>
      <c r="C106" s="214">
        <f>C107+C109+C108</f>
        <v>0</v>
      </c>
      <c r="D106" s="211">
        <f>IF(B106=0,"   ",C106/B106)</f>
        <v>0</v>
      </c>
      <c r="E106" s="212">
        <f>C106-B106</f>
        <v>-6609945.18</v>
      </c>
    </row>
    <row r="107" spans="1:5" ht="15">
      <c r="A107" s="182" t="s">
        <v>221</v>
      </c>
      <c r="B107" s="214">
        <v>6209299.06</v>
      </c>
      <c r="C107" s="214">
        <v>0</v>
      </c>
      <c r="D107" s="211">
        <f>IF(B107=0,"   ",C107/B107)</f>
        <v>0</v>
      </c>
      <c r="E107" s="212">
        <f>C107-B107</f>
        <v>-6209299.06</v>
      </c>
    </row>
    <row r="108" spans="1:5" ht="15">
      <c r="A108" s="182" t="s">
        <v>222</v>
      </c>
      <c r="B108" s="214">
        <v>198169.12</v>
      </c>
      <c r="C108" s="214">
        <v>0</v>
      </c>
      <c r="D108" s="211">
        <f>IF(B108=0,"   ",C108/B108)</f>
        <v>0</v>
      </c>
      <c r="E108" s="212">
        <f>C108-B108</f>
        <v>-198169.12</v>
      </c>
    </row>
    <row r="109" spans="1:5" ht="15">
      <c r="A109" s="120" t="s">
        <v>248</v>
      </c>
      <c r="B109" s="214">
        <v>202477</v>
      </c>
      <c r="C109" s="214">
        <v>0</v>
      </c>
      <c r="D109" s="211">
        <f>IF(B109=0,"   ",C109/B109)</f>
        <v>0</v>
      </c>
      <c r="E109" s="212">
        <f>C109-B109</f>
        <v>-202477</v>
      </c>
    </row>
    <row r="110" spans="1:5" ht="15">
      <c r="A110" s="120" t="s">
        <v>249</v>
      </c>
      <c r="B110" s="214">
        <v>0</v>
      </c>
      <c r="C110" s="214">
        <v>0</v>
      </c>
      <c r="D110" s="211" t="str">
        <f>IF(B110=0,"   ",C110/B110)</f>
        <v>   </v>
      </c>
      <c r="E110" s="212">
        <f>C110-B110</f>
        <v>0</v>
      </c>
    </row>
    <row r="111" spans="1:5" ht="15" customHeight="1">
      <c r="A111" s="185" t="s">
        <v>17</v>
      </c>
      <c r="B111" s="186">
        <v>50000</v>
      </c>
      <c r="C111" s="186">
        <v>0</v>
      </c>
      <c r="D111" s="187">
        <f t="shared" si="3"/>
        <v>0</v>
      </c>
      <c r="E111" s="188">
        <f t="shared" si="1"/>
        <v>-50000</v>
      </c>
    </row>
    <row r="112" spans="1:5" ht="18.75" customHeight="1">
      <c r="A112" s="189" t="s">
        <v>41</v>
      </c>
      <c r="B112" s="190">
        <f>B113</f>
        <v>6366200</v>
      </c>
      <c r="C112" s="190">
        <f>C113</f>
        <v>4756305.93</v>
      </c>
      <c r="D112" s="187">
        <f t="shared" si="3"/>
        <v>74.71185212528667</v>
      </c>
      <c r="E112" s="188">
        <f t="shared" si="1"/>
        <v>-1609894.0700000003</v>
      </c>
    </row>
    <row r="113" spans="1:5" ht="15.75" customHeight="1">
      <c r="A113" s="189" t="s">
        <v>42</v>
      </c>
      <c r="B113" s="99">
        <f>B114+B115+B116+B118+B117</f>
        <v>6366200</v>
      </c>
      <c r="C113" s="99">
        <f>C114+C115+C116+C118+C117</f>
        <v>4756305.93</v>
      </c>
      <c r="D113" s="187">
        <f t="shared" si="3"/>
        <v>74.71185212528667</v>
      </c>
      <c r="E113" s="188">
        <f t="shared" si="1"/>
        <v>-1609894.0700000003</v>
      </c>
    </row>
    <row r="114" spans="1:5" ht="19.5" customHeight="1">
      <c r="A114" s="189" t="s">
        <v>151</v>
      </c>
      <c r="B114" s="186">
        <v>3916900</v>
      </c>
      <c r="C114" s="191">
        <v>3916900</v>
      </c>
      <c r="D114" s="187">
        <f t="shared" si="3"/>
        <v>100</v>
      </c>
      <c r="E114" s="188">
        <f t="shared" si="1"/>
        <v>0</v>
      </c>
    </row>
    <row r="115" spans="1:5" ht="16.5" customHeight="1">
      <c r="A115" s="16" t="s">
        <v>250</v>
      </c>
      <c r="B115" s="186">
        <v>1238800</v>
      </c>
      <c r="C115" s="191">
        <v>165300</v>
      </c>
      <c r="D115" s="187">
        <f t="shared" si="3"/>
        <v>13.34355828220859</v>
      </c>
      <c r="E115" s="188">
        <f t="shared" si="1"/>
        <v>-1073500</v>
      </c>
    </row>
    <row r="116" spans="1:5" ht="18" customHeight="1">
      <c r="A116" s="189" t="s">
        <v>152</v>
      </c>
      <c r="B116" s="186">
        <v>1157000</v>
      </c>
      <c r="C116" s="191">
        <v>620605.93</v>
      </c>
      <c r="D116" s="187">
        <f t="shared" si="3"/>
        <v>53.63923336214348</v>
      </c>
      <c r="E116" s="188">
        <f t="shared" si="1"/>
        <v>-536394.07</v>
      </c>
    </row>
    <row r="117" spans="1:5" ht="18" customHeight="1">
      <c r="A117" s="16" t="s">
        <v>251</v>
      </c>
      <c r="B117" s="186">
        <v>10700</v>
      </c>
      <c r="C117" s="191">
        <v>10700</v>
      </c>
      <c r="D117" s="187">
        <f t="shared" si="3"/>
        <v>100</v>
      </c>
      <c r="E117" s="188">
        <f t="shared" si="1"/>
        <v>0</v>
      </c>
    </row>
    <row r="118" spans="1:5" ht="18" customHeight="1">
      <c r="A118" s="189" t="s">
        <v>232</v>
      </c>
      <c r="B118" s="186">
        <v>42800</v>
      </c>
      <c r="C118" s="191">
        <v>42800</v>
      </c>
      <c r="D118" s="187">
        <f t="shared" si="3"/>
        <v>100</v>
      </c>
      <c r="E118" s="188">
        <f t="shared" si="1"/>
        <v>0</v>
      </c>
    </row>
    <row r="119" spans="1:5" ht="12.75">
      <c r="A119" s="189" t="s">
        <v>125</v>
      </c>
      <c r="B119" s="186">
        <f>SUM(B120,)</f>
        <v>50000</v>
      </c>
      <c r="C119" s="186">
        <f>SUM(C120,)</f>
        <v>27385</v>
      </c>
      <c r="D119" s="187">
        <f t="shared" si="3"/>
        <v>54.769999999999996</v>
      </c>
      <c r="E119" s="188">
        <f t="shared" si="1"/>
        <v>-22615</v>
      </c>
    </row>
    <row r="120" spans="1:5" ht="14.25" customHeight="1">
      <c r="A120" s="189" t="s">
        <v>43</v>
      </c>
      <c r="B120" s="186">
        <v>50000</v>
      </c>
      <c r="C120" s="192">
        <v>27385</v>
      </c>
      <c r="D120" s="187">
        <f t="shared" si="3"/>
        <v>54.769999999999996</v>
      </c>
      <c r="E120" s="188">
        <f t="shared" si="1"/>
        <v>-22615</v>
      </c>
    </row>
    <row r="121" spans="1:5" ht="19.5" customHeight="1">
      <c r="A121" s="189" t="s">
        <v>153</v>
      </c>
      <c r="B121" s="99">
        <f>SUM(B122:B122)</f>
        <v>50000</v>
      </c>
      <c r="C121" s="99">
        <f>SUM(C122:C122)</f>
        <v>0</v>
      </c>
      <c r="D121" s="173">
        <f t="shared" si="3"/>
        <v>0</v>
      </c>
      <c r="E121" s="174">
        <f t="shared" si="1"/>
        <v>-50000</v>
      </c>
    </row>
    <row r="122" spans="1:5" ht="19.5" customHeight="1">
      <c r="A122" s="175" t="s">
        <v>154</v>
      </c>
      <c r="B122" s="99">
        <v>50000</v>
      </c>
      <c r="C122" s="100">
        <v>0</v>
      </c>
      <c r="D122" s="173">
        <f t="shared" si="3"/>
        <v>0</v>
      </c>
      <c r="E122" s="174">
        <f t="shared" si="1"/>
        <v>-50000</v>
      </c>
    </row>
    <row r="123" spans="1:5" ht="20.25" customHeight="1">
      <c r="A123" s="176" t="s">
        <v>15</v>
      </c>
      <c r="B123" s="168">
        <f>B49+B58+B60+B65+B90+B111+B112+B119+B121</f>
        <v>37122230.18</v>
      </c>
      <c r="C123" s="168">
        <f>C49+C58+C60+C65+C90+C111+C112+C119+C121</f>
        <v>15076089.24</v>
      </c>
      <c r="D123" s="158">
        <f t="shared" si="3"/>
        <v>40.612024565599526</v>
      </c>
      <c r="E123" s="159">
        <f t="shared" si="1"/>
        <v>-22046140.939999998</v>
      </c>
    </row>
    <row r="124" spans="1:5" s="69" customFormat="1" ht="23.25" customHeight="1">
      <c r="A124" s="92" t="s">
        <v>176</v>
      </c>
      <c r="B124" s="92"/>
      <c r="C124" s="244"/>
      <c r="D124" s="244"/>
      <c r="E124" s="244"/>
    </row>
    <row r="125" spans="1:5" s="69" customFormat="1" ht="12" customHeight="1">
      <c r="A125" s="92" t="s">
        <v>165</v>
      </c>
      <c r="B125" s="92"/>
      <c r="C125" s="93" t="s">
        <v>177</v>
      </c>
      <c r="D125" s="94"/>
      <c r="E125" s="95"/>
    </row>
    <row r="126" spans="1:5" ht="12.75">
      <c r="A126" s="7"/>
      <c r="B126" s="7"/>
      <c r="C126" s="6"/>
      <c r="D126" s="7"/>
      <c r="E126" s="2"/>
    </row>
    <row r="127" spans="1:5" ht="12.75">
      <c r="A127" s="7"/>
      <c r="B127" s="7"/>
      <c r="C127" s="6"/>
      <c r="D127" s="7"/>
      <c r="E127" s="2"/>
    </row>
    <row r="128" spans="1:5" ht="12.75">
      <c r="A128" s="7"/>
      <c r="B128" s="7"/>
      <c r="C128" s="6"/>
      <c r="D128" s="7"/>
      <c r="E128" s="2"/>
    </row>
    <row r="129" spans="1:5" ht="12.75">
      <c r="A129" s="7"/>
      <c r="B129" s="7"/>
      <c r="C129" s="6"/>
      <c r="D129" s="7"/>
      <c r="E129" s="2"/>
    </row>
  </sheetData>
  <sheetProtection/>
  <mergeCells count="2">
    <mergeCell ref="A1:E1"/>
    <mergeCell ref="C124:E124"/>
  </mergeCells>
  <printOptions/>
  <pageMargins left="0.7874015748031497" right="0.7874015748031497" top="0.4724409448818898" bottom="0.5118110236220472" header="0.5118110236220472" footer="0.5118110236220472"/>
  <pageSetup fitToHeight="3" fitToWidth="3"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37"/>
  <sheetViews>
    <sheetView zoomScalePageLayoutView="0" workbookViewId="0" topLeftCell="A17">
      <selection activeCell="C38" sqref="C38"/>
    </sheetView>
  </sheetViews>
  <sheetFormatPr defaultColWidth="9.00390625" defaultRowHeight="12.75"/>
  <cols>
    <col min="1" max="1" width="108.625" style="0" customWidth="1"/>
    <col min="2" max="2" width="17.00390625" style="0" customWidth="1"/>
    <col min="3" max="3" width="17.75390625" style="0" customWidth="1"/>
    <col min="4" max="4" width="18.125" style="0" customWidth="1"/>
    <col min="5" max="5" width="15.875" style="0" customWidth="1"/>
  </cols>
  <sheetData>
    <row r="1" spans="1:5" ht="18">
      <c r="A1" s="246" t="s">
        <v>309</v>
      </c>
      <c r="B1" s="246"/>
      <c r="C1" s="246"/>
      <c r="D1" s="246"/>
      <c r="E1" s="246"/>
    </row>
    <row r="2" spans="1:5" ht="12.75">
      <c r="A2" s="4"/>
      <c r="B2" s="4"/>
      <c r="C2" s="3"/>
      <c r="D2" s="3"/>
      <c r="E2" s="3"/>
    </row>
    <row r="3" spans="1:5" ht="1.5" customHeight="1" thickBot="1">
      <c r="A3" s="4"/>
      <c r="B3" s="4"/>
      <c r="C3" s="5"/>
      <c r="D3" s="4"/>
      <c r="E3" s="4" t="s">
        <v>0</v>
      </c>
    </row>
    <row r="4" spans="1:5" ht="66.75" customHeight="1">
      <c r="A4" s="34" t="s">
        <v>1</v>
      </c>
      <c r="B4" s="19" t="s">
        <v>255</v>
      </c>
      <c r="C4" s="32" t="s">
        <v>299</v>
      </c>
      <c r="D4" s="19" t="s">
        <v>258</v>
      </c>
      <c r="E4" s="36" t="s">
        <v>257</v>
      </c>
    </row>
    <row r="5" spans="1:5" ht="12.75">
      <c r="A5" s="13">
        <v>1</v>
      </c>
      <c r="B5" s="85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8" customHeight="1">
      <c r="A7" s="17" t="s">
        <v>45</v>
      </c>
      <c r="B7" s="24">
        <f>SUM(B8)</f>
        <v>36600</v>
      </c>
      <c r="C7" s="24">
        <f>SUM(C8)</f>
        <v>16129.98</v>
      </c>
      <c r="D7" s="26">
        <f aca="true" t="shared" si="0" ref="D7:D82">IF(B7=0,"   ",C7/B7*100)</f>
        <v>44.07098360655738</v>
      </c>
      <c r="E7" s="45">
        <f aca="true" t="shared" si="1" ref="E7:E83">C7-B7</f>
        <v>-20470.02</v>
      </c>
    </row>
    <row r="8" spans="1:5" ht="12.75">
      <c r="A8" s="16" t="s">
        <v>44</v>
      </c>
      <c r="B8" s="25">
        <v>36600</v>
      </c>
      <c r="C8" s="27">
        <v>16129.98</v>
      </c>
      <c r="D8" s="26">
        <f t="shared" si="0"/>
        <v>44.07098360655738</v>
      </c>
      <c r="E8" s="45">
        <f t="shared" si="1"/>
        <v>-20470.02</v>
      </c>
    </row>
    <row r="9" spans="1:5" ht="15" customHeight="1">
      <c r="A9" s="74" t="s">
        <v>144</v>
      </c>
      <c r="B9" s="24">
        <f>SUM(B10)</f>
        <v>550800</v>
      </c>
      <c r="C9" s="24">
        <f>SUM(C10)</f>
        <v>321074.56</v>
      </c>
      <c r="D9" s="26">
        <f t="shared" si="0"/>
        <v>58.292403776325344</v>
      </c>
      <c r="E9" s="45">
        <f t="shared" si="1"/>
        <v>-229725.44</v>
      </c>
    </row>
    <row r="10" spans="1:5" ht="12.75">
      <c r="A10" s="43" t="s">
        <v>145</v>
      </c>
      <c r="B10" s="25">
        <v>550800</v>
      </c>
      <c r="C10" s="27">
        <v>321074.56</v>
      </c>
      <c r="D10" s="26">
        <f t="shared" si="0"/>
        <v>58.292403776325344</v>
      </c>
      <c r="E10" s="45">
        <f t="shared" si="1"/>
        <v>-229725.44</v>
      </c>
    </row>
    <row r="11" spans="1:5" ht="18.75" customHeight="1">
      <c r="A11" s="16" t="s">
        <v>7</v>
      </c>
      <c r="B11" s="25">
        <f>SUM(B12:B12)</f>
        <v>0</v>
      </c>
      <c r="C11" s="25">
        <f>SUM(C12:C12)</f>
        <v>0</v>
      </c>
      <c r="D11" s="26" t="str">
        <f t="shared" si="0"/>
        <v>   </v>
      </c>
      <c r="E11" s="45">
        <f t="shared" si="1"/>
        <v>0</v>
      </c>
    </row>
    <row r="12" spans="1:5" ht="12.75">
      <c r="A12" s="16" t="s">
        <v>26</v>
      </c>
      <c r="B12" s="25">
        <v>0</v>
      </c>
      <c r="C12" s="27">
        <v>0</v>
      </c>
      <c r="D12" s="26" t="str">
        <f t="shared" si="0"/>
        <v>   </v>
      </c>
      <c r="E12" s="45">
        <f t="shared" si="1"/>
        <v>0</v>
      </c>
    </row>
    <row r="13" spans="1:5" ht="15" customHeight="1">
      <c r="A13" s="16" t="s">
        <v>9</v>
      </c>
      <c r="B13" s="25">
        <f>SUM(B14:B15)</f>
        <v>294000</v>
      </c>
      <c r="C13" s="25">
        <f>SUM(C14:C15)</f>
        <v>41356.200000000004</v>
      </c>
      <c r="D13" s="26">
        <f t="shared" si="0"/>
        <v>14.066734693877553</v>
      </c>
      <c r="E13" s="45">
        <f t="shared" si="1"/>
        <v>-252643.8</v>
      </c>
    </row>
    <row r="14" spans="1:5" ht="12.75">
      <c r="A14" s="16" t="s">
        <v>27</v>
      </c>
      <c r="B14" s="25">
        <v>57000</v>
      </c>
      <c r="C14" s="27">
        <v>6765.58</v>
      </c>
      <c r="D14" s="26">
        <f t="shared" si="0"/>
        <v>11.869438596491227</v>
      </c>
      <c r="E14" s="45">
        <f t="shared" si="1"/>
        <v>-50234.42</v>
      </c>
    </row>
    <row r="15" spans="1:5" ht="12.75">
      <c r="A15" s="43" t="s">
        <v>173</v>
      </c>
      <c r="B15" s="31">
        <f>SUM(B16:B17)</f>
        <v>237000</v>
      </c>
      <c r="C15" s="31">
        <f>SUM(C16:C17)</f>
        <v>34590.62</v>
      </c>
      <c r="D15" s="26">
        <f t="shared" si="0"/>
        <v>14.595198312236288</v>
      </c>
      <c r="E15" s="45">
        <f t="shared" si="1"/>
        <v>-202409.38</v>
      </c>
    </row>
    <row r="16" spans="1:5" ht="12.75">
      <c r="A16" s="43" t="s">
        <v>174</v>
      </c>
      <c r="B16" s="31">
        <v>11400</v>
      </c>
      <c r="C16" s="79">
        <v>6272.29</v>
      </c>
      <c r="D16" s="26">
        <f t="shared" si="0"/>
        <v>55.020087719298246</v>
      </c>
      <c r="E16" s="45">
        <f t="shared" si="1"/>
        <v>-5127.71</v>
      </c>
    </row>
    <row r="17" spans="1:5" ht="12.75">
      <c r="A17" s="43" t="s">
        <v>175</v>
      </c>
      <c r="B17" s="31">
        <v>225600</v>
      </c>
      <c r="C17" s="79">
        <v>28318.33</v>
      </c>
      <c r="D17" s="26">
        <f t="shared" si="0"/>
        <v>12.55245124113475</v>
      </c>
      <c r="E17" s="45">
        <f t="shared" si="1"/>
        <v>-197281.66999999998</v>
      </c>
    </row>
    <row r="18" spans="1:5" ht="12.75">
      <c r="A18" s="43" t="s">
        <v>264</v>
      </c>
      <c r="B18" s="31">
        <v>0</v>
      </c>
      <c r="C18" s="79">
        <v>1500</v>
      </c>
      <c r="D18" s="26" t="str">
        <f t="shared" si="0"/>
        <v>   </v>
      </c>
      <c r="E18" s="45">
        <f t="shared" si="1"/>
        <v>1500</v>
      </c>
    </row>
    <row r="19" spans="1:5" ht="13.5" customHeight="1">
      <c r="A19" s="16" t="s">
        <v>89</v>
      </c>
      <c r="B19" s="25">
        <v>0</v>
      </c>
      <c r="C19" s="27">
        <v>51314.33</v>
      </c>
      <c r="D19" s="26" t="str">
        <f t="shared" si="0"/>
        <v>   </v>
      </c>
      <c r="E19" s="45">
        <f t="shared" si="1"/>
        <v>51314.33</v>
      </c>
    </row>
    <row r="20" spans="1:5" ht="30" customHeight="1">
      <c r="A20" s="16" t="s">
        <v>28</v>
      </c>
      <c r="B20" s="25">
        <f>SUM(B21:B22)</f>
        <v>132000</v>
      </c>
      <c r="C20" s="24">
        <f>SUM(C21:C22)</f>
        <v>0</v>
      </c>
      <c r="D20" s="26">
        <f t="shared" si="0"/>
        <v>0</v>
      </c>
      <c r="E20" s="45">
        <f t="shared" si="1"/>
        <v>-132000</v>
      </c>
    </row>
    <row r="21" spans="1:5" ht="12.75">
      <c r="A21" s="43" t="s">
        <v>163</v>
      </c>
      <c r="B21" s="25">
        <v>110000</v>
      </c>
      <c r="C21" s="27">
        <v>0</v>
      </c>
      <c r="D21" s="26">
        <f t="shared" si="0"/>
        <v>0</v>
      </c>
      <c r="E21" s="45">
        <f t="shared" si="1"/>
        <v>-110000</v>
      </c>
    </row>
    <row r="22" spans="1:5" ht="15" customHeight="1">
      <c r="A22" s="16" t="s">
        <v>30</v>
      </c>
      <c r="B22" s="25">
        <v>22000</v>
      </c>
      <c r="C22" s="27">
        <v>0</v>
      </c>
      <c r="D22" s="26">
        <f t="shared" si="0"/>
        <v>0</v>
      </c>
      <c r="E22" s="45">
        <f t="shared" si="1"/>
        <v>-22000</v>
      </c>
    </row>
    <row r="23" spans="1:5" ht="20.25" customHeight="1">
      <c r="A23" s="16" t="s">
        <v>83</v>
      </c>
      <c r="B23" s="25">
        <v>0</v>
      </c>
      <c r="C23" s="27">
        <v>0</v>
      </c>
      <c r="D23" s="26" t="str">
        <f t="shared" si="0"/>
        <v>   </v>
      </c>
      <c r="E23" s="45">
        <f t="shared" si="1"/>
        <v>0</v>
      </c>
    </row>
    <row r="24" spans="1:5" ht="17.25" customHeight="1">
      <c r="A24" s="16" t="s">
        <v>76</v>
      </c>
      <c r="B24" s="24">
        <f>B25</f>
        <v>0</v>
      </c>
      <c r="C24" s="24">
        <f>C25</f>
        <v>0</v>
      </c>
      <c r="D24" s="26" t="str">
        <f t="shared" si="0"/>
        <v>   </v>
      </c>
      <c r="E24" s="45">
        <f t="shared" si="1"/>
        <v>0</v>
      </c>
    </row>
    <row r="25" spans="1:5" ht="27.75" customHeight="1">
      <c r="A25" s="16" t="s">
        <v>77</v>
      </c>
      <c r="B25" s="25">
        <v>0</v>
      </c>
      <c r="C25" s="27">
        <v>0</v>
      </c>
      <c r="D25" s="26" t="str">
        <f t="shared" si="0"/>
        <v>   </v>
      </c>
      <c r="E25" s="45">
        <f t="shared" si="1"/>
        <v>0</v>
      </c>
    </row>
    <row r="26" spans="1:5" ht="17.25" customHeight="1">
      <c r="A26" s="16" t="s">
        <v>32</v>
      </c>
      <c r="B26" s="25">
        <f>B27+B28</f>
        <v>0</v>
      </c>
      <c r="C26" s="25">
        <f>SUM(C27:C28)</f>
        <v>0</v>
      </c>
      <c r="D26" s="26" t="str">
        <f t="shared" si="0"/>
        <v>   </v>
      </c>
      <c r="E26" s="45">
        <f t="shared" si="1"/>
        <v>0</v>
      </c>
    </row>
    <row r="27" spans="1:5" ht="12.75">
      <c r="A27" s="16" t="s">
        <v>46</v>
      </c>
      <c r="B27" s="25">
        <v>0</v>
      </c>
      <c r="C27" s="25">
        <v>0</v>
      </c>
      <c r="D27" s="26" t="str">
        <f t="shared" si="0"/>
        <v>   </v>
      </c>
      <c r="E27" s="45"/>
    </row>
    <row r="28" spans="1:5" ht="12.75">
      <c r="A28" s="16" t="s">
        <v>50</v>
      </c>
      <c r="B28" s="25">
        <v>0</v>
      </c>
      <c r="C28" s="27">
        <v>0</v>
      </c>
      <c r="D28" s="26" t="str">
        <f t="shared" si="0"/>
        <v>   </v>
      </c>
      <c r="E28" s="45">
        <f t="shared" si="1"/>
        <v>0</v>
      </c>
    </row>
    <row r="29" spans="1:5" ht="15.75" customHeight="1">
      <c r="A29" s="16" t="s">
        <v>31</v>
      </c>
      <c r="B29" s="25">
        <v>0</v>
      </c>
      <c r="C29" s="25">
        <v>0</v>
      </c>
      <c r="D29" s="26" t="str">
        <f t="shared" si="0"/>
        <v>   </v>
      </c>
      <c r="E29" s="45">
        <f t="shared" si="1"/>
        <v>0</v>
      </c>
    </row>
    <row r="30" spans="1:5" ht="16.5" customHeight="1">
      <c r="A30" s="193" t="s">
        <v>10</v>
      </c>
      <c r="B30" s="46">
        <f>SUM(B7,B9,B11,B13,B20,B23,B24,B26,B29,B19,B18)</f>
        <v>1013400</v>
      </c>
      <c r="C30" s="46">
        <f>SUM(C7,C9,C11,C13,C20,C23,C24,C26,C29,C19,C18)</f>
        <v>431375.07</v>
      </c>
      <c r="D30" s="26">
        <f t="shared" si="0"/>
        <v>42.56710775606868</v>
      </c>
      <c r="E30" s="45">
        <f t="shared" si="1"/>
        <v>-582024.9299999999</v>
      </c>
    </row>
    <row r="31" spans="1:5" ht="13.5" customHeight="1">
      <c r="A31" s="201" t="s">
        <v>147</v>
      </c>
      <c r="B31" s="215">
        <f>SUM(B32:B34,B37:B39,B42)</f>
        <v>2980300</v>
      </c>
      <c r="C31" s="215">
        <f>SUM(C32:C34,C37:C39,C42)</f>
        <v>1820262</v>
      </c>
      <c r="D31" s="158">
        <f t="shared" si="0"/>
        <v>61.07646881186458</v>
      </c>
      <c r="E31" s="159">
        <f t="shared" si="1"/>
        <v>-1160038</v>
      </c>
    </row>
    <row r="32" spans="1:5" ht="19.5" customHeight="1">
      <c r="A32" s="17" t="s">
        <v>34</v>
      </c>
      <c r="B32" s="24">
        <v>1287200</v>
      </c>
      <c r="C32" s="24">
        <v>749200</v>
      </c>
      <c r="D32" s="26">
        <f t="shared" si="0"/>
        <v>58.203853325046616</v>
      </c>
      <c r="E32" s="45">
        <f t="shared" si="1"/>
        <v>-538000</v>
      </c>
    </row>
    <row r="33" spans="1:5" ht="30.75" customHeight="1">
      <c r="A33" s="150" t="s">
        <v>51</v>
      </c>
      <c r="B33" s="151">
        <v>71300</v>
      </c>
      <c r="C33" s="154">
        <v>43400</v>
      </c>
      <c r="D33" s="152">
        <f t="shared" si="0"/>
        <v>60.86956521739131</v>
      </c>
      <c r="E33" s="153">
        <f t="shared" si="1"/>
        <v>-27900</v>
      </c>
    </row>
    <row r="34" spans="1:5" ht="24.75" customHeight="1">
      <c r="A34" s="124" t="s">
        <v>157</v>
      </c>
      <c r="B34" s="151">
        <f>SUM(B35:B36)</f>
        <v>8100</v>
      </c>
      <c r="C34" s="151">
        <f>SUM(C35:C36)</f>
        <v>100</v>
      </c>
      <c r="D34" s="152">
        <f t="shared" si="0"/>
        <v>1.2345679012345678</v>
      </c>
      <c r="E34" s="153">
        <f t="shared" si="1"/>
        <v>-8000</v>
      </c>
    </row>
    <row r="35" spans="1:5" ht="16.5" customHeight="1">
      <c r="A35" s="124" t="s">
        <v>178</v>
      </c>
      <c r="B35" s="151">
        <v>100</v>
      </c>
      <c r="C35" s="154">
        <v>100</v>
      </c>
      <c r="D35" s="152">
        <f t="shared" si="0"/>
        <v>100</v>
      </c>
      <c r="E35" s="153">
        <f t="shared" si="1"/>
        <v>0</v>
      </c>
    </row>
    <row r="36" spans="1:5" ht="25.5" customHeight="1">
      <c r="A36" s="124" t="s">
        <v>179</v>
      </c>
      <c r="B36" s="151">
        <v>8000</v>
      </c>
      <c r="C36" s="154">
        <v>0</v>
      </c>
      <c r="D36" s="152">
        <f t="shared" si="0"/>
        <v>0</v>
      </c>
      <c r="E36" s="153">
        <f t="shared" si="1"/>
        <v>-8000</v>
      </c>
    </row>
    <row r="37" spans="1:5" ht="40.5" customHeight="1">
      <c r="A37" s="160" t="s">
        <v>137</v>
      </c>
      <c r="B37" s="151">
        <v>816000</v>
      </c>
      <c r="C37" s="151">
        <v>816000</v>
      </c>
      <c r="D37" s="152">
        <f t="shared" si="0"/>
        <v>100</v>
      </c>
      <c r="E37" s="153">
        <f t="shared" si="1"/>
        <v>0</v>
      </c>
    </row>
    <row r="38" spans="1:5" ht="18" customHeight="1">
      <c r="A38" s="160" t="s">
        <v>189</v>
      </c>
      <c r="B38" s="151">
        <v>0</v>
      </c>
      <c r="C38" s="151">
        <v>0</v>
      </c>
      <c r="D38" s="152" t="str">
        <f t="shared" si="0"/>
        <v>   </v>
      </c>
      <c r="E38" s="153">
        <f t="shared" si="1"/>
        <v>0</v>
      </c>
    </row>
    <row r="39" spans="1:5" ht="15.75" customHeight="1">
      <c r="A39" s="16" t="s">
        <v>55</v>
      </c>
      <c r="B39" s="25">
        <f>B41+B40</f>
        <v>675800</v>
      </c>
      <c r="C39" s="25">
        <f>C41</f>
        <v>141562</v>
      </c>
      <c r="D39" s="26">
        <f t="shared" si="0"/>
        <v>20.947321692808522</v>
      </c>
      <c r="E39" s="45">
        <f t="shared" si="1"/>
        <v>-534238</v>
      </c>
    </row>
    <row r="40" spans="1:5" ht="15" customHeight="1">
      <c r="A40" s="56" t="s">
        <v>235</v>
      </c>
      <c r="B40" s="25">
        <v>264900</v>
      </c>
      <c r="C40" s="25">
        <v>0</v>
      </c>
      <c r="D40" s="26">
        <f>IF(B40=0,"   ",C40/B40*100)</f>
        <v>0</v>
      </c>
      <c r="E40" s="45">
        <f>C40-B40</f>
        <v>-264900</v>
      </c>
    </row>
    <row r="41" spans="1:5" s="7" customFormat="1" ht="16.5" customHeight="1">
      <c r="A41" s="16" t="s">
        <v>110</v>
      </c>
      <c r="B41" s="57">
        <v>410900</v>
      </c>
      <c r="C41" s="25">
        <v>141562</v>
      </c>
      <c r="D41" s="57">
        <f t="shared" si="0"/>
        <v>34.45169140910197</v>
      </c>
      <c r="E41" s="42">
        <f t="shared" si="1"/>
        <v>-269338</v>
      </c>
    </row>
    <row r="42" spans="1:5" s="7" customFormat="1" ht="16.5" customHeight="1">
      <c r="A42" s="16" t="s">
        <v>267</v>
      </c>
      <c r="B42" s="57">
        <v>121900</v>
      </c>
      <c r="C42" s="25">
        <v>70000</v>
      </c>
      <c r="D42" s="57">
        <f>IF(B42=0,"   ",C42/B42*100)</f>
        <v>57.42411812961444</v>
      </c>
      <c r="E42" s="42">
        <f>C42-B42</f>
        <v>-51900</v>
      </c>
    </row>
    <row r="43" spans="1:5" ht="20.25" customHeight="1">
      <c r="A43" s="193" t="s">
        <v>11</v>
      </c>
      <c r="B43" s="168">
        <f>SUM(B30,B31,)</f>
        <v>3993700</v>
      </c>
      <c r="C43" s="168">
        <f>SUM(C30,C31,)</f>
        <v>2251637.07</v>
      </c>
      <c r="D43" s="26">
        <f t="shared" si="0"/>
        <v>56.37972481658612</v>
      </c>
      <c r="E43" s="45">
        <f t="shared" si="1"/>
        <v>-1742062.9300000002</v>
      </c>
    </row>
    <row r="44" spans="1:5" ht="22.5" customHeight="1">
      <c r="A44" s="22" t="s">
        <v>12</v>
      </c>
      <c r="B44" s="47"/>
      <c r="C44" s="48"/>
      <c r="D44" s="26" t="str">
        <f t="shared" si="0"/>
        <v>   </v>
      </c>
      <c r="E44" s="45">
        <f t="shared" si="1"/>
        <v>0</v>
      </c>
    </row>
    <row r="45" spans="1:5" ht="21" customHeight="1">
      <c r="A45" s="16" t="s">
        <v>35</v>
      </c>
      <c r="B45" s="25">
        <f>SUM(B46,B48,B49)</f>
        <v>1033200</v>
      </c>
      <c r="C45" s="25">
        <f>SUM(C46,C48,C49)</f>
        <v>567277.84</v>
      </c>
      <c r="D45" s="26">
        <f t="shared" si="0"/>
        <v>54.90493999225706</v>
      </c>
      <c r="E45" s="45">
        <f t="shared" si="1"/>
        <v>-465922.16000000003</v>
      </c>
    </row>
    <row r="46" spans="1:5" ht="14.25" customHeight="1">
      <c r="A46" s="16" t="s">
        <v>36</v>
      </c>
      <c r="B46" s="25">
        <v>1032700</v>
      </c>
      <c r="C46" s="25">
        <v>567277.84</v>
      </c>
      <c r="D46" s="26">
        <f t="shared" si="0"/>
        <v>54.93152319163358</v>
      </c>
      <c r="E46" s="45">
        <f t="shared" si="1"/>
        <v>-465422.16000000003</v>
      </c>
    </row>
    <row r="47" spans="1:5" ht="12.75">
      <c r="A47" s="97" t="s">
        <v>122</v>
      </c>
      <c r="B47" s="25">
        <v>724500</v>
      </c>
      <c r="C47" s="28">
        <v>407900</v>
      </c>
      <c r="D47" s="26">
        <f t="shared" si="0"/>
        <v>56.300897170462385</v>
      </c>
      <c r="E47" s="45">
        <f t="shared" si="1"/>
        <v>-316600</v>
      </c>
    </row>
    <row r="48" spans="1:5" ht="12.75">
      <c r="A48" s="16" t="s">
        <v>96</v>
      </c>
      <c r="B48" s="25">
        <v>500</v>
      </c>
      <c r="C48" s="27">
        <v>0</v>
      </c>
      <c r="D48" s="26">
        <f t="shared" si="0"/>
        <v>0</v>
      </c>
      <c r="E48" s="45">
        <f t="shared" si="1"/>
        <v>-500</v>
      </c>
    </row>
    <row r="49" spans="1:5" ht="12.75">
      <c r="A49" s="16" t="s">
        <v>52</v>
      </c>
      <c r="B49" s="25">
        <f>B50</f>
        <v>0</v>
      </c>
      <c r="C49" s="25">
        <f>C50</f>
        <v>0</v>
      </c>
      <c r="D49" s="26" t="str">
        <f t="shared" si="0"/>
        <v>   </v>
      </c>
      <c r="E49" s="45">
        <f t="shared" si="1"/>
        <v>0</v>
      </c>
    </row>
    <row r="50" spans="1:5" ht="25.5">
      <c r="A50" s="120" t="s">
        <v>166</v>
      </c>
      <c r="B50" s="25">
        <v>0</v>
      </c>
      <c r="C50" s="27">
        <v>0</v>
      </c>
      <c r="D50" s="26" t="str">
        <f t="shared" si="0"/>
        <v>   </v>
      </c>
      <c r="E50" s="45">
        <f t="shared" si="1"/>
        <v>0</v>
      </c>
    </row>
    <row r="51" spans="1:5" ht="19.5" customHeight="1">
      <c r="A51" s="16" t="s">
        <v>49</v>
      </c>
      <c r="B51" s="27">
        <f>SUM(B52)</f>
        <v>71300</v>
      </c>
      <c r="C51" s="27">
        <f>SUM(C52)</f>
        <v>37469.61</v>
      </c>
      <c r="D51" s="26">
        <f t="shared" si="0"/>
        <v>52.5520476858345</v>
      </c>
      <c r="E51" s="45">
        <f t="shared" si="1"/>
        <v>-33830.39</v>
      </c>
    </row>
    <row r="52" spans="1:5" ht="15.75" customHeight="1">
      <c r="A52" s="16" t="s">
        <v>108</v>
      </c>
      <c r="B52" s="25">
        <v>71300</v>
      </c>
      <c r="C52" s="27">
        <v>37469.61</v>
      </c>
      <c r="D52" s="26">
        <f t="shared" si="0"/>
        <v>52.5520476858345</v>
      </c>
      <c r="E52" s="45">
        <f t="shared" si="1"/>
        <v>-33830.39</v>
      </c>
    </row>
    <row r="53" spans="1:5" ht="21" customHeight="1">
      <c r="A53" s="16" t="s">
        <v>37</v>
      </c>
      <c r="B53" s="25">
        <f>SUM(B54)</f>
        <v>400</v>
      </c>
      <c r="C53" s="27">
        <f>SUM(C54)</f>
        <v>0</v>
      </c>
      <c r="D53" s="26">
        <f t="shared" si="0"/>
        <v>0</v>
      </c>
      <c r="E53" s="45">
        <f t="shared" si="1"/>
        <v>-400</v>
      </c>
    </row>
    <row r="54" spans="1:5" ht="15" customHeight="1">
      <c r="A54" s="87" t="s">
        <v>130</v>
      </c>
      <c r="B54" s="25">
        <v>400</v>
      </c>
      <c r="C54" s="27">
        <v>0</v>
      </c>
      <c r="D54" s="26">
        <f t="shared" si="0"/>
        <v>0</v>
      </c>
      <c r="E54" s="45">
        <f t="shared" si="1"/>
        <v>-400</v>
      </c>
    </row>
    <row r="55" spans="1:5" ht="19.5" customHeight="1">
      <c r="A55" s="16" t="s">
        <v>38</v>
      </c>
      <c r="B55" s="25">
        <f>SUM(B59+B56)</f>
        <v>1378800</v>
      </c>
      <c r="C55" s="25">
        <f>SUM(C59)</f>
        <v>1005968.71</v>
      </c>
      <c r="D55" s="26">
        <f t="shared" si="0"/>
        <v>72.95972657383231</v>
      </c>
      <c r="E55" s="45">
        <f t="shared" si="1"/>
        <v>-372831.29000000004</v>
      </c>
    </row>
    <row r="56" spans="1:5" ht="15" customHeight="1">
      <c r="A56" s="87" t="s">
        <v>180</v>
      </c>
      <c r="B56" s="25">
        <f>SUM(B57+B58)</f>
        <v>8000</v>
      </c>
      <c r="C56" s="25">
        <f>SUM(C57+C58)</f>
        <v>0</v>
      </c>
      <c r="D56" s="26">
        <f>IF(B56=0,"   ",C56/B56*100)</f>
        <v>0</v>
      </c>
      <c r="E56" s="45">
        <f>C56-B56</f>
        <v>-8000</v>
      </c>
    </row>
    <row r="57" spans="1:5" ht="15.75" customHeight="1">
      <c r="A57" s="87" t="s">
        <v>181</v>
      </c>
      <c r="B57" s="25">
        <v>8000</v>
      </c>
      <c r="C57" s="25">
        <v>0</v>
      </c>
      <c r="D57" s="26">
        <f>IF(B57=0,"   ",C57/B57*100)</f>
        <v>0</v>
      </c>
      <c r="E57" s="45">
        <f>C57-B57</f>
        <v>-8000</v>
      </c>
    </row>
    <row r="58" spans="1:5" ht="19.5" customHeight="1">
      <c r="A58" s="87" t="s">
        <v>188</v>
      </c>
      <c r="B58" s="25">
        <v>0</v>
      </c>
      <c r="C58" s="25">
        <v>0</v>
      </c>
      <c r="D58" s="26" t="str">
        <f>IF(B58=0,"   ",C58/B58*100)</f>
        <v>   </v>
      </c>
      <c r="E58" s="45">
        <f>C58-B58</f>
        <v>0</v>
      </c>
    </row>
    <row r="59" spans="1:5" ht="12.75" customHeight="1">
      <c r="A59" s="111" t="s">
        <v>134</v>
      </c>
      <c r="B59" s="25">
        <f>B60+B62+B63+B61</f>
        <v>1370800</v>
      </c>
      <c r="C59" s="25">
        <f>C60+C62+C63+C61</f>
        <v>1005968.71</v>
      </c>
      <c r="D59" s="26">
        <f t="shared" si="0"/>
        <v>73.38552013422819</v>
      </c>
      <c r="E59" s="45">
        <f t="shared" si="1"/>
        <v>-364831.29000000004</v>
      </c>
    </row>
    <row r="60" spans="1:5" ht="12" customHeight="1">
      <c r="A60" s="87" t="s">
        <v>148</v>
      </c>
      <c r="B60" s="25">
        <v>0</v>
      </c>
      <c r="C60" s="25">
        <v>0</v>
      </c>
      <c r="D60" s="26" t="str">
        <f t="shared" si="0"/>
        <v>   </v>
      </c>
      <c r="E60" s="153">
        <f t="shared" si="1"/>
        <v>0</v>
      </c>
    </row>
    <row r="61" spans="1:5" ht="15" customHeight="1">
      <c r="A61" s="87" t="s">
        <v>269</v>
      </c>
      <c r="B61" s="25">
        <v>816000</v>
      </c>
      <c r="C61" s="25">
        <v>813703.71</v>
      </c>
      <c r="D61" s="26">
        <f t="shared" si="0"/>
        <v>99.7185919117647</v>
      </c>
      <c r="E61" s="153">
        <f t="shared" si="1"/>
        <v>-2296.2900000000373</v>
      </c>
    </row>
    <row r="62" spans="1:5" ht="26.25" customHeight="1">
      <c r="A62" s="82" t="s">
        <v>135</v>
      </c>
      <c r="B62" s="25">
        <v>410900</v>
      </c>
      <c r="C62" s="25">
        <v>141562</v>
      </c>
      <c r="D62" s="26">
        <f t="shared" si="0"/>
        <v>34.45169140910197</v>
      </c>
      <c r="E62" s="45">
        <f t="shared" si="1"/>
        <v>-269338</v>
      </c>
    </row>
    <row r="63" spans="1:5" ht="23.25" customHeight="1">
      <c r="A63" s="82" t="s">
        <v>136</v>
      </c>
      <c r="B63" s="25">
        <v>143900</v>
      </c>
      <c r="C63" s="25">
        <v>50703</v>
      </c>
      <c r="D63" s="26">
        <f t="shared" si="0"/>
        <v>35.234885337039614</v>
      </c>
      <c r="E63" s="45">
        <f t="shared" si="1"/>
        <v>-93197</v>
      </c>
    </row>
    <row r="64" spans="1:5" ht="18.75" customHeight="1">
      <c r="A64" s="16" t="s">
        <v>13</v>
      </c>
      <c r="B64" s="25">
        <f>SUM(B69+B65+B67)</f>
        <v>705200</v>
      </c>
      <c r="C64" s="25">
        <f>SUM(C69+C65+C67)</f>
        <v>103403.16</v>
      </c>
      <c r="D64" s="26">
        <f t="shared" si="0"/>
        <v>14.662955190017016</v>
      </c>
      <c r="E64" s="45">
        <f t="shared" si="1"/>
        <v>-601796.84</v>
      </c>
    </row>
    <row r="65" spans="1:5" ht="12.75" customHeight="1">
      <c r="A65" s="98" t="s">
        <v>14</v>
      </c>
      <c r="B65" s="25">
        <f>B66</f>
        <v>0</v>
      </c>
      <c r="C65" s="25">
        <f>C66</f>
        <v>0</v>
      </c>
      <c r="D65" s="26" t="str">
        <f>IF(B65=0,"   ",C65/B65*100)</f>
        <v>   </v>
      </c>
      <c r="E65" s="45">
        <f>C65-B65</f>
        <v>0</v>
      </c>
    </row>
    <row r="66" spans="1:5" ht="12.75" customHeight="1">
      <c r="A66" s="175" t="s">
        <v>191</v>
      </c>
      <c r="B66" s="25">
        <v>0</v>
      </c>
      <c r="C66" s="25">
        <v>0</v>
      </c>
      <c r="D66" s="26" t="str">
        <f>IF(B66=0,"   ",C66/B66*100)</f>
        <v>   </v>
      </c>
      <c r="E66" s="45">
        <f>C66-B66</f>
        <v>0</v>
      </c>
    </row>
    <row r="67" spans="1:5" ht="13.5" customHeight="1">
      <c r="A67" s="98" t="s">
        <v>64</v>
      </c>
      <c r="B67" s="25">
        <f>B68</f>
        <v>0</v>
      </c>
      <c r="C67" s="25">
        <f>C68</f>
        <v>0</v>
      </c>
      <c r="D67" s="26" t="str">
        <f>IF(B67=0,"   ",C67/B67*100)</f>
        <v>   </v>
      </c>
      <c r="E67" s="45">
        <f>C67-B67</f>
        <v>0</v>
      </c>
    </row>
    <row r="68" spans="1:5" ht="14.25" customHeight="1">
      <c r="A68" s="175" t="s">
        <v>192</v>
      </c>
      <c r="B68" s="25">
        <v>0</v>
      </c>
      <c r="C68" s="25">
        <v>0</v>
      </c>
      <c r="D68" s="26" t="str">
        <f>IF(B68=0,"   ",C68/B68*100)</f>
        <v>   </v>
      </c>
      <c r="E68" s="45">
        <f>C68-B68</f>
        <v>0</v>
      </c>
    </row>
    <row r="69" spans="1:5" ht="12.75">
      <c r="A69" s="16" t="s">
        <v>58</v>
      </c>
      <c r="B69" s="25">
        <f>B70+B72+B71+B77+B73</f>
        <v>705200</v>
      </c>
      <c r="C69" s="25">
        <f>C70+C72+C71+C77+C73</f>
        <v>103403.16</v>
      </c>
      <c r="D69" s="26">
        <f t="shared" si="0"/>
        <v>14.662955190017016</v>
      </c>
      <c r="E69" s="45">
        <f t="shared" si="1"/>
        <v>-601796.84</v>
      </c>
    </row>
    <row r="70" spans="1:5" ht="12.75">
      <c r="A70" s="16" t="s">
        <v>56</v>
      </c>
      <c r="B70" s="25">
        <v>166400</v>
      </c>
      <c r="C70" s="27">
        <v>18403.16</v>
      </c>
      <c r="D70" s="26">
        <f t="shared" si="0"/>
        <v>11.059591346153846</v>
      </c>
      <c r="E70" s="45">
        <f t="shared" si="1"/>
        <v>-147996.84</v>
      </c>
    </row>
    <row r="71" spans="1:5" ht="25.5">
      <c r="A71" s="120" t="s">
        <v>182</v>
      </c>
      <c r="B71" s="25">
        <v>0</v>
      </c>
      <c r="C71" s="27">
        <v>0</v>
      </c>
      <c r="D71" s="26" t="str">
        <f t="shared" si="0"/>
        <v>   </v>
      </c>
      <c r="E71" s="45">
        <f t="shared" si="1"/>
        <v>0</v>
      </c>
    </row>
    <row r="72" spans="1:5" ht="12.75">
      <c r="A72" s="16" t="s">
        <v>59</v>
      </c>
      <c r="B72" s="25">
        <v>82000</v>
      </c>
      <c r="C72" s="27">
        <v>15000</v>
      </c>
      <c r="D72" s="26">
        <f t="shared" si="0"/>
        <v>18.29268292682927</v>
      </c>
      <c r="E72" s="45">
        <f t="shared" si="1"/>
        <v>-67000</v>
      </c>
    </row>
    <row r="73" spans="1:5" ht="13.5" customHeight="1">
      <c r="A73" s="120" t="s">
        <v>277</v>
      </c>
      <c r="B73" s="25">
        <f>SUM(B74:B76)</f>
        <v>456800</v>
      </c>
      <c r="C73" s="25">
        <f>SUM(C74:C76)</f>
        <v>70000</v>
      </c>
      <c r="D73" s="26">
        <f>IF(B73=0,"   ",C73/B73*100)</f>
        <v>15.32399299474606</v>
      </c>
      <c r="E73" s="45">
        <f>C73-B73</f>
        <v>-386800</v>
      </c>
    </row>
    <row r="74" spans="1:5" ht="25.5">
      <c r="A74" s="120" t="s">
        <v>284</v>
      </c>
      <c r="B74" s="25">
        <v>264900</v>
      </c>
      <c r="C74" s="27">
        <v>0</v>
      </c>
      <c r="D74" s="26">
        <f t="shared" si="0"/>
        <v>0</v>
      </c>
      <c r="E74" s="45">
        <f t="shared" si="1"/>
        <v>-264900</v>
      </c>
    </row>
    <row r="75" spans="1:5" ht="25.5">
      <c r="A75" s="120" t="s">
        <v>285</v>
      </c>
      <c r="B75" s="25">
        <v>121900</v>
      </c>
      <c r="C75" s="27">
        <v>0</v>
      </c>
      <c r="D75" s="26">
        <f t="shared" si="0"/>
        <v>0</v>
      </c>
      <c r="E75" s="45">
        <f t="shared" si="1"/>
        <v>-121900</v>
      </c>
    </row>
    <row r="76" spans="1:5" ht="25.5">
      <c r="A76" s="120" t="s">
        <v>286</v>
      </c>
      <c r="B76" s="25">
        <v>70000</v>
      </c>
      <c r="C76" s="27">
        <v>70000</v>
      </c>
      <c r="D76" s="26">
        <f t="shared" si="0"/>
        <v>100</v>
      </c>
      <c r="E76" s="45">
        <f t="shared" si="1"/>
        <v>0</v>
      </c>
    </row>
    <row r="77" spans="1:5" ht="12.75">
      <c r="A77" s="175" t="s">
        <v>95</v>
      </c>
      <c r="B77" s="25">
        <v>0</v>
      </c>
      <c r="C77" s="27">
        <v>0</v>
      </c>
      <c r="D77" s="26" t="str">
        <f t="shared" si="0"/>
        <v>   </v>
      </c>
      <c r="E77" s="45">
        <f t="shared" si="1"/>
        <v>0</v>
      </c>
    </row>
    <row r="78" spans="1:5" ht="14.25" customHeight="1">
      <c r="A78" s="18" t="s">
        <v>17</v>
      </c>
      <c r="B78" s="31">
        <v>8000</v>
      </c>
      <c r="C78" s="31">
        <v>0</v>
      </c>
      <c r="D78" s="26">
        <f t="shared" si="0"/>
        <v>0</v>
      </c>
      <c r="E78" s="45">
        <f t="shared" si="1"/>
        <v>-8000</v>
      </c>
    </row>
    <row r="79" spans="1:5" ht="13.5" customHeight="1">
      <c r="A79" s="16" t="s">
        <v>41</v>
      </c>
      <c r="B79" s="24">
        <f>B80</f>
        <v>848400</v>
      </c>
      <c r="C79" s="24">
        <f>C80</f>
        <v>551200</v>
      </c>
      <c r="D79" s="26">
        <f t="shared" si="0"/>
        <v>64.96935407826497</v>
      </c>
      <c r="E79" s="45">
        <f t="shared" si="1"/>
        <v>-297200</v>
      </c>
    </row>
    <row r="80" spans="1:5" ht="12.75">
      <c r="A80" s="16" t="s">
        <v>42</v>
      </c>
      <c r="B80" s="25">
        <v>848400</v>
      </c>
      <c r="C80" s="27">
        <v>551200</v>
      </c>
      <c r="D80" s="26">
        <f t="shared" si="0"/>
        <v>64.96935407826497</v>
      </c>
      <c r="E80" s="45">
        <f t="shared" si="1"/>
        <v>-297200</v>
      </c>
    </row>
    <row r="81" spans="1:5" ht="18.75" customHeight="1">
      <c r="A81" s="16" t="s">
        <v>125</v>
      </c>
      <c r="B81" s="25">
        <f>SUM(B82,)</f>
        <v>18400</v>
      </c>
      <c r="C81" s="25">
        <f>SUM(C82,)</f>
        <v>0</v>
      </c>
      <c r="D81" s="26">
        <f t="shared" si="0"/>
        <v>0</v>
      </c>
      <c r="E81" s="45">
        <f t="shared" si="1"/>
        <v>-18400</v>
      </c>
    </row>
    <row r="82" spans="1:5" ht="12.75">
      <c r="A82" s="16" t="s">
        <v>43</v>
      </c>
      <c r="B82" s="25">
        <v>18400</v>
      </c>
      <c r="C82" s="28">
        <v>0</v>
      </c>
      <c r="D82" s="26">
        <f t="shared" si="0"/>
        <v>0</v>
      </c>
      <c r="E82" s="45">
        <f t="shared" si="1"/>
        <v>-18400</v>
      </c>
    </row>
    <row r="83" spans="1:5" ht="22.5" customHeight="1">
      <c r="A83" s="193" t="s">
        <v>15</v>
      </c>
      <c r="B83" s="24">
        <f>B45+B51+B53+B55+B64+B78+B79+B81</f>
        <v>4063700</v>
      </c>
      <c r="C83" s="24">
        <f>C45+C51+C53+C55+C64+C78+C79+C81</f>
        <v>2265319.32</v>
      </c>
      <c r="D83" s="26">
        <f>IF(B83=0,"   ",C83/B83*100)</f>
        <v>55.7452400521692</v>
      </c>
      <c r="E83" s="45">
        <f t="shared" si="1"/>
        <v>-1798380.6800000002</v>
      </c>
    </row>
    <row r="84" spans="1:5" s="69" customFormat="1" ht="23.25" customHeight="1">
      <c r="A84" s="92" t="s">
        <v>176</v>
      </c>
      <c r="B84" s="92"/>
      <c r="C84" s="244"/>
      <c r="D84" s="244"/>
      <c r="E84" s="244"/>
    </row>
    <row r="85" spans="1:5" s="69" customFormat="1" ht="12" customHeight="1">
      <c r="A85" s="92" t="s">
        <v>165</v>
      </c>
      <c r="B85" s="92"/>
      <c r="C85" s="93" t="s">
        <v>177</v>
      </c>
      <c r="D85" s="94"/>
      <c r="E85" s="95"/>
    </row>
    <row r="86" spans="1:5" ht="12.75">
      <c r="A86" s="7"/>
      <c r="B86" s="7"/>
      <c r="C86" s="6"/>
      <c r="D86" s="7"/>
      <c r="E86" s="2"/>
    </row>
    <row r="87" spans="1:5" ht="12.75">
      <c r="A87" s="7"/>
      <c r="B87" s="7"/>
      <c r="C87" s="6"/>
      <c r="D87" s="7"/>
      <c r="E87" s="2"/>
    </row>
    <row r="88" spans="1:5" ht="12.75">
      <c r="A88" s="7"/>
      <c r="B88" s="7"/>
      <c r="C88" s="6"/>
      <c r="D88" s="7"/>
      <c r="E88" s="2"/>
    </row>
    <row r="89" spans="1:5" ht="12.75">
      <c r="A89" s="7"/>
      <c r="B89" s="7"/>
      <c r="C89" s="6"/>
      <c r="D89" s="7"/>
      <c r="E89" s="2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</sheetData>
  <sheetProtection/>
  <mergeCells count="2">
    <mergeCell ref="A1:E1"/>
    <mergeCell ref="C84:E84"/>
  </mergeCells>
  <printOptions/>
  <pageMargins left="0.984251968503937" right="0.7874015748031497" top="0.5118110236220472" bottom="0.4724409448818898" header="0.5118110236220472" footer="0.5118110236220472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3"/>
  <sheetViews>
    <sheetView zoomScalePageLayoutView="0" workbookViewId="0" topLeftCell="A21">
      <selection activeCell="C37" sqref="C37"/>
    </sheetView>
  </sheetViews>
  <sheetFormatPr defaultColWidth="9.00390625" defaultRowHeight="12.75"/>
  <cols>
    <col min="1" max="1" width="102.625" style="0" customWidth="1"/>
    <col min="2" max="2" width="15.125" style="0" customWidth="1"/>
    <col min="3" max="3" width="18.75390625" style="0" customWidth="1"/>
    <col min="4" max="4" width="18.625" style="0" customWidth="1"/>
    <col min="5" max="5" width="16.00390625" style="0" customWidth="1"/>
  </cols>
  <sheetData>
    <row r="1" spans="1:5" ht="18">
      <c r="A1" s="246" t="s">
        <v>310</v>
      </c>
      <c r="B1" s="246"/>
      <c r="C1" s="246"/>
      <c r="D1" s="246"/>
      <c r="E1" s="246"/>
    </row>
    <row r="2" spans="1:5" ht="12.75" customHeight="1" thickBot="1">
      <c r="A2" s="4"/>
      <c r="B2" s="4"/>
      <c r="C2" s="3"/>
      <c r="D2" s="3"/>
      <c r="E2" s="3"/>
    </row>
    <row r="3" spans="1:5" ht="5.25" customHeight="1" hidden="1" thickBot="1">
      <c r="A3" s="4"/>
      <c r="B3" s="4"/>
      <c r="C3" s="5"/>
      <c r="D3" s="4"/>
      <c r="E3" s="4" t="s">
        <v>0</v>
      </c>
    </row>
    <row r="4" spans="1:5" ht="72.75" customHeight="1">
      <c r="A4" s="34" t="s">
        <v>1</v>
      </c>
      <c r="B4" s="19" t="s">
        <v>255</v>
      </c>
      <c r="C4" s="32" t="s">
        <v>311</v>
      </c>
      <c r="D4" s="19" t="s">
        <v>260</v>
      </c>
      <c r="E4" s="36" t="s">
        <v>257</v>
      </c>
    </row>
    <row r="5" spans="1:5" ht="12.75">
      <c r="A5" s="13">
        <v>1</v>
      </c>
      <c r="B5" s="85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6.5" customHeight="1">
      <c r="A7" s="17" t="s">
        <v>45</v>
      </c>
      <c r="B7" s="24">
        <f>SUM(B8)</f>
        <v>346900</v>
      </c>
      <c r="C7" s="24">
        <f>SUM(C8)</f>
        <v>191968.03</v>
      </c>
      <c r="D7" s="26">
        <f aca="true" t="shared" si="0" ref="D7:D84">IF(B7=0,"   ",C7/B7*100)</f>
        <v>55.33814643989622</v>
      </c>
      <c r="E7" s="45">
        <f aca="true" t="shared" si="1" ref="E7:E85">C7-B7</f>
        <v>-154931.97</v>
      </c>
    </row>
    <row r="8" spans="1:5" ht="12.75">
      <c r="A8" s="16" t="s">
        <v>44</v>
      </c>
      <c r="B8" s="25">
        <v>346900</v>
      </c>
      <c r="C8" s="27">
        <v>191968.03</v>
      </c>
      <c r="D8" s="26">
        <f t="shared" si="0"/>
        <v>55.33814643989622</v>
      </c>
      <c r="E8" s="45">
        <f t="shared" si="1"/>
        <v>-154931.97</v>
      </c>
    </row>
    <row r="9" spans="1:5" ht="18" customHeight="1">
      <c r="A9" s="74" t="s">
        <v>144</v>
      </c>
      <c r="B9" s="24">
        <f>SUM(B10)</f>
        <v>422700</v>
      </c>
      <c r="C9" s="24">
        <f>SUM(C10)</f>
        <v>246406.05</v>
      </c>
      <c r="D9" s="26">
        <f t="shared" si="0"/>
        <v>58.293364088005674</v>
      </c>
      <c r="E9" s="45">
        <f t="shared" si="1"/>
        <v>-176293.95</v>
      </c>
    </row>
    <row r="10" spans="1:5" ht="12.75">
      <c r="A10" s="43" t="s">
        <v>145</v>
      </c>
      <c r="B10" s="25">
        <v>422700</v>
      </c>
      <c r="C10" s="27">
        <v>246406.05</v>
      </c>
      <c r="D10" s="26">
        <f t="shared" si="0"/>
        <v>58.293364088005674</v>
      </c>
      <c r="E10" s="45">
        <f t="shared" si="1"/>
        <v>-176293.95</v>
      </c>
    </row>
    <row r="11" spans="1:5" ht="16.5" customHeight="1">
      <c r="A11" s="16" t="s">
        <v>7</v>
      </c>
      <c r="B11" s="25">
        <f>SUM(B12:B12)</f>
        <v>2000</v>
      </c>
      <c r="C11" s="25">
        <f>C12</f>
        <v>22314.82</v>
      </c>
      <c r="D11" s="26">
        <f t="shared" si="0"/>
        <v>1115.741</v>
      </c>
      <c r="E11" s="45">
        <f t="shared" si="1"/>
        <v>20314.82</v>
      </c>
    </row>
    <row r="12" spans="1:5" ht="12.75">
      <c r="A12" s="16" t="s">
        <v>26</v>
      </c>
      <c r="B12" s="25">
        <v>2000</v>
      </c>
      <c r="C12" s="27">
        <v>22314.82</v>
      </c>
      <c r="D12" s="26">
        <f t="shared" si="0"/>
        <v>1115.741</v>
      </c>
      <c r="E12" s="45">
        <f t="shared" si="1"/>
        <v>20314.82</v>
      </c>
    </row>
    <row r="13" spans="1:5" ht="18" customHeight="1">
      <c r="A13" s="16" t="s">
        <v>9</v>
      </c>
      <c r="B13" s="25">
        <f>SUM(B14:B15)</f>
        <v>1205000</v>
      </c>
      <c r="C13" s="25">
        <f>SUM(C14:C15)</f>
        <v>141413.7</v>
      </c>
      <c r="D13" s="26">
        <f t="shared" si="0"/>
        <v>11.735576763485478</v>
      </c>
      <c r="E13" s="45">
        <f t="shared" si="1"/>
        <v>-1063586.3</v>
      </c>
    </row>
    <row r="14" spans="1:5" ht="12.75">
      <c r="A14" s="16" t="s">
        <v>27</v>
      </c>
      <c r="B14" s="25">
        <v>159000</v>
      </c>
      <c r="C14" s="27">
        <v>12203.4</v>
      </c>
      <c r="D14" s="26">
        <f t="shared" si="0"/>
        <v>7.675094339622642</v>
      </c>
      <c r="E14" s="45">
        <f t="shared" si="1"/>
        <v>-146796.6</v>
      </c>
    </row>
    <row r="15" spans="1:5" ht="12.75">
      <c r="A15" s="43" t="s">
        <v>173</v>
      </c>
      <c r="B15" s="31">
        <f>SUM(B16:B17)</f>
        <v>1046000</v>
      </c>
      <c r="C15" s="31">
        <f>SUM(C16:C17)</f>
        <v>129210.3</v>
      </c>
      <c r="D15" s="26">
        <f t="shared" si="0"/>
        <v>12.352801147227535</v>
      </c>
      <c r="E15" s="45">
        <f t="shared" si="1"/>
        <v>-916789.7</v>
      </c>
    </row>
    <row r="16" spans="1:5" ht="12.75">
      <c r="A16" s="43" t="s">
        <v>174</v>
      </c>
      <c r="B16" s="31">
        <v>282400</v>
      </c>
      <c r="C16" s="79">
        <v>83357.72</v>
      </c>
      <c r="D16" s="26">
        <f t="shared" si="0"/>
        <v>29.517606232294618</v>
      </c>
      <c r="E16" s="45">
        <f t="shared" si="1"/>
        <v>-199042.28</v>
      </c>
    </row>
    <row r="17" spans="1:5" ht="12.75">
      <c r="A17" s="43" t="s">
        <v>175</v>
      </c>
      <c r="B17" s="31">
        <v>763600</v>
      </c>
      <c r="C17" s="79">
        <v>45852.58</v>
      </c>
      <c r="D17" s="26">
        <f t="shared" si="0"/>
        <v>6.004790466212677</v>
      </c>
      <c r="E17" s="45">
        <f t="shared" si="1"/>
        <v>-717747.42</v>
      </c>
    </row>
    <row r="18" spans="1:5" ht="12.75">
      <c r="A18" s="43" t="s">
        <v>264</v>
      </c>
      <c r="B18" s="31">
        <v>0</v>
      </c>
      <c r="C18" s="79">
        <v>10200</v>
      </c>
      <c r="D18" s="26" t="str">
        <f t="shared" si="0"/>
        <v>   </v>
      </c>
      <c r="E18" s="45">
        <f t="shared" si="1"/>
        <v>10200</v>
      </c>
    </row>
    <row r="19" spans="1:5" ht="26.25" customHeight="1">
      <c r="A19" s="16" t="s">
        <v>89</v>
      </c>
      <c r="B19" s="25">
        <v>0</v>
      </c>
      <c r="C19" s="27">
        <v>0</v>
      </c>
      <c r="D19" s="26" t="str">
        <f t="shared" si="0"/>
        <v>   </v>
      </c>
      <c r="E19" s="45">
        <f t="shared" si="1"/>
        <v>0</v>
      </c>
    </row>
    <row r="20" spans="1:5" ht="30" customHeight="1">
      <c r="A20" s="16" t="s">
        <v>28</v>
      </c>
      <c r="B20" s="25">
        <f>SUM(B21:B24)</f>
        <v>68700</v>
      </c>
      <c r="C20" s="25">
        <f>SUM(C21:C24)</f>
        <v>11813.59</v>
      </c>
      <c r="D20" s="26">
        <f t="shared" si="0"/>
        <v>17.19590975254731</v>
      </c>
      <c r="E20" s="45">
        <f t="shared" si="1"/>
        <v>-56886.41</v>
      </c>
    </row>
    <row r="21" spans="1:5" ht="12.75">
      <c r="A21" s="16" t="s">
        <v>29</v>
      </c>
      <c r="B21" s="25">
        <v>0</v>
      </c>
      <c r="C21" s="27">
        <v>0</v>
      </c>
      <c r="D21" s="26" t="str">
        <f t="shared" si="0"/>
        <v>   </v>
      </c>
      <c r="E21" s="45">
        <f t="shared" si="1"/>
        <v>0</v>
      </c>
    </row>
    <row r="22" spans="1:5" ht="12.75">
      <c r="A22" s="43" t="s">
        <v>163</v>
      </c>
      <c r="B22" s="25">
        <v>26000</v>
      </c>
      <c r="C22" s="27">
        <v>6269.07</v>
      </c>
      <c r="D22" s="26">
        <f t="shared" si="0"/>
        <v>24.11180769230769</v>
      </c>
      <c r="E22" s="45">
        <f t="shared" si="1"/>
        <v>-19730.93</v>
      </c>
    </row>
    <row r="23" spans="1:5" ht="15.75" customHeight="1">
      <c r="A23" s="16" t="s">
        <v>30</v>
      </c>
      <c r="B23" s="25">
        <v>42700</v>
      </c>
      <c r="C23" s="25">
        <v>2240</v>
      </c>
      <c r="D23" s="26">
        <f t="shared" si="0"/>
        <v>5.245901639344262</v>
      </c>
      <c r="E23" s="45">
        <f t="shared" si="1"/>
        <v>-40460</v>
      </c>
    </row>
    <row r="24" spans="1:5" ht="42" customHeight="1">
      <c r="A24" s="16" t="s">
        <v>270</v>
      </c>
      <c r="B24" s="25">
        <v>0</v>
      </c>
      <c r="C24" s="25">
        <v>3304.52</v>
      </c>
      <c r="D24" s="26" t="str">
        <f t="shared" si="0"/>
        <v>   </v>
      </c>
      <c r="E24" s="45">
        <f t="shared" si="1"/>
        <v>3304.52</v>
      </c>
    </row>
    <row r="25" spans="1:5" ht="15.75" customHeight="1">
      <c r="A25" s="41" t="s">
        <v>92</v>
      </c>
      <c r="B25" s="25">
        <v>0</v>
      </c>
      <c r="C25" s="27">
        <v>7743.26</v>
      </c>
      <c r="D25" s="26" t="str">
        <f t="shared" si="0"/>
        <v>   </v>
      </c>
      <c r="E25" s="45">
        <f t="shared" si="1"/>
        <v>7743.26</v>
      </c>
    </row>
    <row r="26" spans="1:5" ht="15" customHeight="1">
      <c r="A26" s="16" t="s">
        <v>78</v>
      </c>
      <c r="B26" s="25">
        <f>SUM(B27:B28)</f>
        <v>0</v>
      </c>
      <c r="C26" s="25">
        <f>SUM(C27:C28)</f>
        <v>0</v>
      </c>
      <c r="D26" s="26" t="str">
        <f t="shared" si="0"/>
        <v>   </v>
      </c>
      <c r="E26" s="45">
        <f t="shared" si="1"/>
        <v>0</v>
      </c>
    </row>
    <row r="27" spans="1:5" ht="13.5" customHeight="1">
      <c r="A27" s="43" t="s">
        <v>139</v>
      </c>
      <c r="B27" s="25">
        <v>0</v>
      </c>
      <c r="C27" s="25">
        <v>0</v>
      </c>
      <c r="D27" s="26" t="str">
        <f t="shared" si="0"/>
        <v>   </v>
      </c>
      <c r="E27" s="45">
        <f t="shared" si="1"/>
        <v>0</v>
      </c>
    </row>
    <row r="28" spans="1:5" ht="26.25" customHeight="1">
      <c r="A28" s="16" t="s">
        <v>79</v>
      </c>
      <c r="B28" s="25">
        <v>0</v>
      </c>
      <c r="C28" s="25">
        <v>0</v>
      </c>
      <c r="D28" s="26" t="str">
        <f t="shared" si="0"/>
        <v>   </v>
      </c>
      <c r="E28" s="45">
        <f t="shared" si="1"/>
        <v>0</v>
      </c>
    </row>
    <row r="29" spans="1:5" ht="16.5" customHeight="1">
      <c r="A29" s="16" t="s">
        <v>31</v>
      </c>
      <c r="B29" s="25">
        <v>0</v>
      </c>
      <c r="C29" s="25">
        <v>0</v>
      </c>
      <c r="D29" s="26"/>
      <c r="E29" s="45">
        <f t="shared" si="1"/>
        <v>0</v>
      </c>
    </row>
    <row r="30" spans="1:5" ht="18.75" customHeight="1">
      <c r="A30" s="16" t="s">
        <v>32</v>
      </c>
      <c r="B30" s="25">
        <f>B31+B32</f>
        <v>0</v>
      </c>
      <c r="C30" s="24">
        <f>C31+C32</f>
        <v>0</v>
      </c>
      <c r="D30" s="26" t="str">
        <f t="shared" si="0"/>
        <v>   </v>
      </c>
      <c r="E30" s="45">
        <f t="shared" si="1"/>
        <v>0</v>
      </c>
    </row>
    <row r="31" spans="1:5" ht="13.5" customHeight="1">
      <c r="A31" s="16" t="s">
        <v>128</v>
      </c>
      <c r="B31" s="25">
        <v>0</v>
      </c>
      <c r="C31" s="27">
        <v>0</v>
      </c>
      <c r="D31" s="26" t="str">
        <f t="shared" si="0"/>
        <v>   </v>
      </c>
      <c r="E31" s="45">
        <f t="shared" si="1"/>
        <v>0</v>
      </c>
    </row>
    <row r="32" spans="1:5" ht="13.5" customHeight="1">
      <c r="A32" s="16" t="s">
        <v>132</v>
      </c>
      <c r="B32" s="25">
        <v>0</v>
      </c>
      <c r="C32" s="27">
        <v>0</v>
      </c>
      <c r="D32" s="26"/>
      <c r="E32" s="45">
        <f t="shared" si="1"/>
        <v>0</v>
      </c>
    </row>
    <row r="33" spans="1:5" ht="21" customHeight="1">
      <c r="A33" s="193" t="s">
        <v>10</v>
      </c>
      <c r="B33" s="44">
        <f>SUM(B7,B9,B11,B13,B19,B20,B25,B26,B29,B30,)</f>
        <v>2045300</v>
      </c>
      <c r="C33" s="44">
        <f>SUM(C7,C9,C11,C13,C19,C20,C25,C26,C29,C30,C18)</f>
        <v>631859.45</v>
      </c>
      <c r="D33" s="26">
        <f t="shared" si="0"/>
        <v>30.89324060040092</v>
      </c>
      <c r="E33" s="45">
        <f t="shared" si="1"/>
        <v>-1413440.55</v>
      </c>
    </row>
    <row r="34" spans="1:5" ht="18.75" customHeight="1">
      <c r="A34" s="201" t="s">
        <v>147</v>
      </c>
      <c r="B34" s="215">
        <f>SUM(B35:B37,B40:B40,B43)</f>
        <v>3538270</v>
      </c>
      <c r="C34" s="215">
        <f>SUM(C35:C37,C40:C40,C43)</f>
        <v>2398585.8</v>
      </c>
      <c r="D34" s="158">
        <f t="shared" si="0"/>
        <v>67.7897899255851</v>
      </c>
      <c r="E34" s="159">
        <f t="shared" si="1"/>
        <v>-1139684.2000000002</v>
      </c>
    </row>
    <row r="35" spans="1:5" ht="16.5" customHeight="1">
      <c r="A35" s="17" t="s">
        <v>34</v>
      </c>
      <c r="B35" s="24">
        <v>2587100</v>
      </c>
      <c r="C35" s="24">
        <v>1703800</v>
      </c>
      <c r="D35" s="26">
        <f t="shared" si="0"/>
        <v>65.85752386842411</v>
      </c>
      <c r="E35" s="45">
        <f t="shared" si="1"/>
        <v>-883300</v>
      </c>
    </row>
    <row r="36" spans="1:5" ht="24.75" customHeight="1">
      <c r="A36" s="150" t="s">
        <v>51</v>
      </c>
      <c r="B36" s="151">
        <v>142500</v>
      </c>
      <c r="C36" s="151">
        <v>106300</v>
      </c>
      <c r="D36" s="152">
        <f t="shared" si="0"/>
        <v>74.59649122807018</v>
      </c>
      <c r="E36" s="153">
        <f t="shared" si="1"/>
        <v>-36200</v>
      </c>
    </row>
    <row r="37" spans="1:5" ht="24.75" customHeight="1">
      <c r="A37" s="124" t="s">
        <v>157</v>
      </c>
      <c r="B37" s="151">
        <f>SUM(B38:B39)</f>
        <v>11100</v>
      </c>
      <c r="C37" s="151">
        <f>SUM(C38:C39)</f>
        <v>1582.8</v>
      </c>
      <c r="D37" s="152">
        <f t="shared" si="0"/>
        <v>14.259459459459459</v>
      </c>
      <c r="E37" s="153">
        <f t="shared" si="1"/>
        <v>-9517.2</v>
      </c>
    </row>
    <row r="38" spans="1:5" ht="12.75" customHeight="1">
      <c r="A38" s="124" t="s">
        <v>178</v>
      </c>
      <c r="B38" s="151">
        <v>200</v>
      </c>
      <c r="C38" s="151">
        <v>200</v>
      </c>
      <c r="D38" s="152">
        <f>IF(B38=0,"   ",C38/B38*100)</f>
        <v>100</v>
      </c>
      <c r="E38" s="153">
        <f>C38-B38</f>
        <v>0</v>
      </c>
    </row>
    <row r="39" spans="1:5" ht="24.75" customHeight="1">
      <c r="A39" s="124" t="s">
        <v>179</v>
      </c>
      <c r="B39" s="151">
        <v>10900</v>
      </c>
      <c r="C39" s="151">
        <v>1382.8</v>
      </c>
      <c r="D39" s="152">
        <f>IF(B39=0,"   ",C39/B39*100)</f>
        <v>12.686238532110092</v>
      </c>
      <c r="E39" s="153">
        <f>C39-B39</f>
        <v>-9517.2</v>
      </c>
    </row>
    <row r="40" spans="1:5" ht="18" customHeight="1">
      <c r="A40" s="16" t="s">
        <v>55</v>
      </c>
      <c r="B40" s="25">
        <f>B42+B41</f>
        <v>315100</v>
      </c>
      <c r="C40" s="25">
        <f>C42+C41</f>
        <v>104433</v>
      </c>
      <c r="D40" s="26">
        <f t="shared" si="0"/>
        <v>33.14281180577595</v>
      </c>
      <c r="E40" s="45">
        <f t="shared" si="1"/>
        <v>-210667</v>
      </c>
    </row>
    <row r="41" spans="1:5" ht="18" customHeight="1">
      <c r="A41" s="56" t="s">
        <v>236</v>
      </c>
      <c r="B41" s="25">
        <v>0</v>
      </c>
      <c r="C41" s="25">
        <v>0</v>
      </c>
      <c r="D41" s="26" t="str">
        <f t="shared" si="0"/>
        <v>   </v>
      </c>
      <c r="E41" s="45">
        <f t="shared" si="1"/>
        <v>0</v>
      </c>
    </row>
    <row r="42" spans="1:5" s="7" customFormat="1" ht="15.75" customHeight="1">
      <c r="A42" s="16" t="s">
        <v>110</v>
      </c>
      <c r="B42" s="57">
        <v>315100</v>
      </c>
      <c r="C42" s="25">
        <v>104433</v>
      </c>
      <c r="D42" s="57">
        <f t="shared" si="0"/>
        <v>33.14281180577595</v>
      </c>
      <c r="E42" s="42">
        <f t="shared" si="1"/>
        <v>-210667</v>
      </c>
    </row>
    <row r="43" spans="1:5" ht="39" customHeight="1">
      <c r="A43" s="16" t="s">
        <v>104</v>
      </c>
      <c r="B43" s="25">
        <v>482470</v>
      </c>
      <c r="C43" s="25">
        <v>482470</v>
      </c>
      <c r="D43" s="26">
        <f t="shared" si="0"/>
        <v>100</v>
      </c>
      <c r="E43" s="45">
        <f t="shared" si="1"/>
        <v>0</v>
      </c>
    </row>
    <row r="44" spans="1:5" ht="26.25" customHeight="1">
      <c r="A44" s="193" t="s">
        <v>11</v>
      </c>
      <c r="B44" s="168">
        <f>SUM(B33,B34,)</f>
        <v>5583570</v>
      </c>
      <c r="C44" s="168">
        <f>SUM(C33,C34,)</f>
        <v>3030445.25</v>
      </c>
      <c r="D44" s="26">
        <f t="shared" si="0"/>
        <v>54.27433075971108</v>
      </c>
      <c r="E44" s="45">
        <f t="shared" si="1"/>
        <v>-2553124.75</v>
      </c>
    </row>
    <row r="45" spans="1:5" ht="12.75" customHeight="1">
      <c r="A45" s="22" t="s">
        <v>12</v>
      </c>
      <c r="B45" s="47"/>
      <c r="C45" s="48"/>
      <c r="D45" s="26" t="str">
        <f t="shared" si="0"/>
        <v>   </v>
      </c>
      <c r="E45" s="45"/>
    </row>
    <row r="46" spans="1:5" ht="24" customHeight="1">
      <c r="A46" s="16" t="s">
        <v>35</v>
      </c>
      <c r="B46" s="25">
        <f>SUM(B47,B49,B50)</f>
        <v>1122360</v>
      </c>
      <c r="C46" s="25">
        <f>SUM(C47,C49,C50)</f>
        <v>608266.67</v>
      </c>
      <c r="D46" s="26">
        <f t="shared" si="0"/>
        <v>54.195326811361774</v>
      </c>
      <c r="E46" s="45">
        <f t="shared" si="1"/>
        <v>-514093.32999999996</v>
      </c>
    </row>
    <row r="47" spans="1:5" ht="12.75" customHeight="1">
      <c r="A47" s="16" t="s">
        <v>36</v>
      </c>
      <c r="B47" s="25">
        <v>1118400</v>
      </c>
      <c r="C47" s="25">
        <v>604806.67</v>
      </c>
      <c r="D47" s="26">
        <f t="shared" si="0"/>
        <v>54.07784960658083</v>
      </c>
      <c r="E47" s="45">
        <f t="shared" si="1"/>
        <v>-513593.32999999996</v>
      </c>
    </row>
    <row r="48" spans="1:5" ht="12.75">
      <c r="A48" s="97" t="s">
        <v>122</v>
      </c>
      <c r="B48" s="25">
        <v>717400</v>
      </c>
      <c r="C48" s="28">
        <v>390307.93</v>
      </c>
      <c r="D48" s="26">
        <f t="shared" si="0"/>
        <v>54.40590047393364</v>
      </c>
      <c r="E48" s="45">
        <f t="shared" si="1"/>
        <v>-327092.07</v>
      </c>
    </row>
    <row r="49" spans="1:5" ht="12.75">
      <c r="A49" s="16" t="s">
        <v>96</v>
      </c>
      <c r="B49" s="25">
        <v>500</v>
      </c>
      <c r="C49" s="27">
        <v>0</v>
      </c>
      <c r="D49" s="26">
        <f t="shared" si="0"/>
        <v>0</v>
      </c>
      <c r="E49" s="45">
        <f t="shared" si="1"/>
        <v>-500</v>
      </c>
    </row>
    <row r="50" spans="1:5" ht="12.75">
      <c r="A50" s="16" t="s">
        <v>52</v>
      </c>
      <c r="B50" s="27">
        <f>SUM(B51:B53)</f>
        <v>3460</v>
      </c>
      <c r="C50" s="27">
        <f>SUM(C51:C53)</f>
        <v>3460</v>
      </c>
      <c r="D50" s="26">
        <f t="shared" si="0"/>
        <v>100</v>
      </c>
      <c r="E50" s="45">
        <f t="shared" si="1"/>
        <v>0</v>
      </c>
    </row>
    <row r="51" spans="1:5" ht="12.75">
      <c r="A51" s="120" t="s">
        <v>197</v>
      </c>
      <c r="B51" s="27">
        <v>0</v>
      </c>
      <c r="C51" s="27">
        <v>0</v>
      </c>
      <c r="D51" s="26" t="str">
        <f>IF(B51=0,"   ",C51/B51*100)</f>
        <v>   </v>
      </c>
      <c r="E51" s="45">
        <f>C51-B51</f>
        <v>0</v>
      </c>
    </row>
    <row r="52" spans="1:5" ht="38.25">
      <c r="A52" s="120" t="s">
        <v>272</v>
      </c>
      <c r="B52" s="27">
        <v>3460</v>
      </c>
      <c r="C52" s="27">
        <v>3460</v>
      </c>
      <c r="D52" s="26">
        <f>IF(B52=0,"   ",C52/B52*100)</f>
        <v>100</v>
      </c>
      <c r="E52" s="45">
        <f>C52-B52</f>
        <v>0</v>
      </c>
    </row>
    <row r="53" spans="1:5" ht="39.75" customHeight="1">
      <c r="A53" s="120" t="s">
        <v>198</v>
      </c>
      <c r="B53" s="25">
        <v>0</v>
      </c>
      <c r="C53" s="27">
        <v>0</v>
      </c>
      <c r="D53" s="26" t="str">
        <f t="shared" si="0"/>
        <v>   </v>
      </c>
      <c r="E53" s="45">
        <f t="shared" si="1"/>
        <v>0</v>
      </c>
    </row>
    <row r="54" spans="1:5" ht="22.5" customHeight="1">
      <c r="A54" s="16" t="s">
        <v>49</v>
      </c>
      <c r="B54" s="27">
        <f>SUM(B55)</f>
        <v>142500</v>
      </c>
      <c r="C54" s="27">
        <f>SUM(C55)</f>
        <v>80153.07</v>
      </c>
      <c r="D54" s="26">
        <f t="shared" si="0"/>
        <v>56.24776842105263</v>
      </c>
      <c r="E54" s="45">
        <f t="shared" si="1"/>
        <v>-62346.92999999999</v>
      </c>
    </row>
    <row r="55" spans="1:5" ht="12" customHeight="1">
      <c r="A55" s="16" t="s">
        <v>108</v>
      </c>
      <c r="B55" s="25">
        <v>142500</v>
      </c>
      <c r="C55" s="27">
        <v>80153.07</v>
      </c>
      <c r="D55" s="26">
        <f t="shared" si="0"/>
        <v>56.24776842105263</v>
      </c>
      <c r="E55" s="45">
        <f t="shared" si="1"/>
        <v>-62346.92999999999</v>
      </c>
    </row>
    <row r="56" spans="1:5" ht="16.5" customHeight="1">
      <c r="A56" s="16" t="s">
        <v>37</v>
      </c>
      <c r="B56" s="25">
        <f>SUM(B57)</f>
        <v>800</v>
      </c>
      <c r="C56" s="27">
        <f>SUM(C57)</f>
        <v>0</v>
      </c>
      <c r="D56" s="26">
        <f t="shared" si="0"/>
        <v>0</v>
      </c>
      <c r="E56" s="45">
        <f t="shared" si="1"/>
        <v>-800</v>
      </c>
    </row>
    <row r="57" spans="1:5" ht="16.5" customHeight="1">
      <c r="A57" s="43" t="s">
        <v>130</v>
      </c>
      <c r="B57" s="25">
        <v>800</v>
      </c>
      <c r="C57" s="27">
        <v>0</v>
      </c>
      <c r="D57" s="26">
        <f t="shared" si="0"/>
        <v>0</v>
      </c>
      <c r="E57" s="45">
        <f t="shared" si="1"/>
        <v>-800</v>
      </c>
    </row>
    <row r="58" spans="1:5" ht="21.75" customHeight="1">
      <c r="A58" s="16" t="s">
        <v>38</v>
      </c>
      <c r="B58" s="27">
        <f>B62+B59</f>
        <v>436300</v>
      </c>
      <c r="C58" s="27">
        <f>C62+C59</f>
        <v>140989.91999999998</v>
      </c>
      <c r="D58" s="26">
        <f t="shared" si="0"/>
        <v>32.31490258996103</v>
      </c>
      <c r="E58" s="45">
        <f t="shared" si="1"/>
        <v>-295310.08</v>
      </c>
    </row>
    <row r="59" spans="1:5" ht="21.75" customHeight="1">
      <c r="A59" s="87" t="s">
        <v>180</v>
      </c>
      <c r="B59" s="25">
        <f>SUM(B60+B61)</f>
        <v>10900</v>
      </c>
      <c r="C59" s="25">
        <f>SUM(C60+C61)</f>
        <v>0</v>
      </c>
      <c r="D59" s="26">
        <f>IF(B59=0,"   ",C59/B59*100)</f>
        <v>0</v>
      </c>
      <c r="E59" s="45">
        <f>C59-B59</f>
        <v>-10900</v>
      </c>
    </row>
    <row r="60" spans="1:5" ht="21.75" customHeight="1">
      <c r="A60" s="87" t="s">
        <v>181</v>
      </c>
      <c r="B60" s="25">
        <v>10900</v>
      </c>
      <c r="C60" s="142">
        <v>0</v>
      </c>
      <c r="D60" s="26">
        <f>IF(B60=0,"   ",C60/B60*100)</f>
        <v>0</v>
      </c>
      <c r="E60" s="45">
        <f>C60-B60</f>
        <v>-10900</v>
      </c>
    </row>
    <row r="61" spans="1:5" ht="21.75" customHeight="1">
      <c r="A61" s="87" t="s">
        <v>188</v>
      </c>
      <c r="B61" s="134">
        <v>0</v>
      </c>
      <c r="C61" s="142">
        <v>0</v>
      </c>
      <c r="D61" s="26"/>
      <c r="E61" s="45"/>
    </row>
    <row r="62" spans="1:5" ht="12" customHeight="1">
      <c r="A62" s="111" t="s">
        <v>134</v>
      </c>
      <c r="B62" s="134">
        <f>B63+B66+B67+B64+B65</f>
        <v>425400</v>
      </c>
      <c r="C62" s="134">
        <f>C63+C66+C67+C64+C65</f>
        <v>140989.91999999998</v>
      </c>
      <c r="D62" s="26">
        <f t="shared" si="0"/>
        <v>33.14290550070522</v>
      </c>
      <c r="E62" s="45">
        <f t="shared" si="1"/>
        <v>-284410.08</v>
      </c>
    </row>
    <row r="63" spans="1:5" ht="17.25" customHeight="1">
      <c r="A63" s="87" t="s">
        <v>160</v>
      </c>
      <c r="B63" s="25">
        <v>0</v>
      </c>
      <c r="C63" s="27">
        <v>0</v>
      </c>
      <c r="D63" s="26" t="str">
        <f t="shared" si="0"/>
        <v>   </v>
      </c>
      <c r="E63" s="45">
        <f t="shared" si="1"/>
        <v>0</v>
      </c>
    </row>
    <row r="64" spans="1:5" ht="17.25" customHeight="1">
      <c r="A64" s="87" t="s">
        <v>156</v>
      </c>
      <c r="B64" s="138">
        <v>0</v>
      </c>
      <c r="C64" s="27">
        <v>0</v>
      </c>
      <c r="D64" s="26" t="str">
        <f t="shared" si="0"/>
        <v>   </v>
      </c>
      <c r="E64" s="45">
        <f t="shared" si="1"/>
        <v>0</v>
      </c>
    </row>
    <row r="65" spans="1:5" ht="17.25" customHeight="1">
      <c r="A65" s="87" t="s">
        <v>193</v>
      </c>
      <c r="B65" s="138">
        <v>0</v>
      </c>
      <c r="C65" s="27">
        <v>0</v>
      </c>
      <c r="D65" s="26" t="str">
        <f t="shared" si="0"/>
        <v>   </v>
      </c>
      <c r="E65" s="45">
        <f t="shared" si="1"/>
        <v>0</v>
      </c>
    </row>
    <row r="66" spans="1:5" ht="27" customHeight="1">
      <c r="A66" s="165" t="s">
        <v>135</v>
      </c>
      <c r="B66" s="138">
        <v>315100</v>
      </c>
      <c r="C66" s="27">
        <v>104432.92</v>
      </c>
      <c r="D66" s="26">
        <f t="shared" si="0"/>
        <v>33.14278641701047</v>
      </c>
      <c r="E66" s="45">
        <f t="shared" si="1"/>
        <v>-210667.08000000002</v>
      </c>
    </row>
    <row r="67" spans="1:5" ht="27" customHeight="1">
      <c r="A67" s="82" t="s">
        <v>136</v>
      </c>
      <c r="B67" s="130">
        <v>110300</v>
      </c>
      <c r="C67" s="27">
        <v>36557</v>
      </c>
      <c r="D67" s="26">
        <f t="shared" si="0"/>
        <v>33.14324569356301</v>
      </c>
      <c r="E67" s="45">
        <f t="shared" si="1"/>
        <v>-73743</v>
      </c>
    </row>
    <row r="68" spans="1:5" ht="20.25" customHeight="1">
      <c r="A68" s="16" t="s">
        <v>13</v>
      </c>
      <c r="B68" s="25">
        <f>SUM(B69,B71,B75,)</f>
        <v>1369910</v>
      </c>
      <c r="C68" s="25">
        <f>SUM(C69,C71,C75,)</f>
        <v>847376.48</v>
      </c>
      <c r="D68" s="26">
        <f t="shared" si="0"/>
        <v>61.85636136680511</v>
      </c>
      <c r="E68" s="45">
        <f t="shared" si="1"/>
        <v>-522533.52</v>
      </c>
    </row>
    <row r="69" spans="1:5" ht="12.75">
      <c r="A69" s="16" t="s">
        <v>14</v>
      </c>
      <c r="B69" s="25">
        <f>SUM(B70:B70)</f>
        <v>0</v>
      </c>
      <c r="C69" s="25">
        <f>SUM(C70:C70)</f>
        <v>0</v>
      </c>
      <c r="D69" s="26" t="str">
        <f t="shared" si="0"/>
        <v>   </v>
      </c>
      <c r="E69" s="45">
        <f t="shared" si="1"/>
        <v>0</v>
      </c>
    </row>
    <row r="70" spans="1:5" ht="15.75" customHeight="1">
      <c r="A70" s="16" t="s">
        <v>99</v>
      </c>
      <c r="B70" s="25">
        <v>0</v>
      </c>
      <c r="C70" s="27">
        <v>0</v>
      </c>
      <c r="D70" s="26" t="str">
        <f t="shared" si="0"/>
        <v>   </v>
      </c>
      <c r="E70" s="45">
        <f t="shared" si="1"/>
        <v>0</v>
      </c>
    </row>
    <row r="71" spans="1:5" ht="12.75">
      <c r="A71" s="16" t="s">
        <v>91</v>
      </c>
      <c r="B71" s="25">
        <f>SUM(B72:B74)</f>
        <v>501358.74</v>
      </c>
      <c r="C71" s="25">
        <f>SUM(C72:C74)</f>
        <v>501358.74</v>
      </c>
      <c r="D71" s="26">
        <f t="shared" si="0"/>
        <v>100</v>
      </c>
      <c r="E71" s="45">
        <f t="shared" si="1"/>
        <v>0</v>
      </c>
    </row>
    <row r="72" spans="1:5" ht="38.25">
      <c r="A72" s="16" t="s">
        <v>199</v>
      </c>
      <c r="B72" s="25">
        <v>482470</v>
      </c>
      <c r="C72" s="25">
        <v>482470</v>
      </c>
      <c r="D72" s="26">
        <f>IF(B72=0,"   ",C72/B72*100)</f>
        <v>100</v>
      </c>
      <c r="E72" s="45">
        <f>C72-B72</f>
        <v>0</v>
      </c>
    </row>
    <row r="73" spans="1:5" ht="38.25">
      <c r="A73" s="16" t="s">
        <v>273</v>
      </c>
      <c r="B73" s="25">
        <v>18888.74</v>
      </c>
      <c r="C73" s="25">
        <v>18888.74</v>
      </c>
      <c r="D73" s="26"/>
      <c r="E73" s="45"/>
    </row>
    <row r="74" spans="1:5" ht="12.75">
      <c r="A74" s="16" t="s">
        <v>170</v>
      </c>
      <c r="B74" s="25">
        <v>0</v>
      </c>
      <c r="C74" s="27">
        <v>0</v>
      </c>
      <c r="D74" s="26" t="str">
        <f t="shared" si="0"/>
        <v>   </v>
      </c>
      <c r="E74" s="45">
        <f t="shared" si="1"/>
        <v>0</v>
      </c>
    </row>
    <row r="75" spans="1:5" ht="12.75">
      <c r="A75" s="16" t="s">
        <v>69</v>
      </c>
      <c r="B75" s="25">
        <f>B76+B78+B77+B79</f>
        <v>868551.26</v>
      </c>
      <c r="C75" s="25">
        <f>C76+C78+C77+C79</f>
        <v>346017.74</v>
      </c>
      <c r="D75" s="26">
        <f t="shared" si="0"/>
        <v>39.83849381555212</v>
      </c>
      <c r="E75" s="45">
        <f t="shared" si="1"/>
        <v>-522533.52</v>
      </c>
    </row>
    <row r="76" spans="1:5" ht="12.75">
      <c r="A76" s="16" t="s">
        <v>56</v>
      </c>
      <c r="B76" s="25">
        <v>846251.26</v>
      </c>
      <c r="C76" s="27">
        <v>346017.74</v>
      </c>
      <c r="D76" s="26">
        <f t="shared" si="0"/>
        <v>40.88829835243022</v>
      </c>
      <c r="E76" s="45">
        <f t="shared" si="1"/>
        <v>-500233.52</v>
      </c>
    </row>
    <row r="77" spans="1:5" ht="25.5">
      <c r="A77" s="120" t="s">
        <v>182</v>
      </c>
      <c r="B77" s="25">
        <v>0</v>
      </c>
      <c r="C77" s="27">
        <v>0</v>
      </c>
      <c r="D77" s="26" t="str">
        <f t="shared" si="0"/>
        <v>   </v>
      </c>
      <c r="E77" s="45">
        <f t="shared" si="1"/>
        <v>0</v>
      </c>
    </row>
    <row r="78" spans="1:5" ht="12.75">
      <c r="A78" s="16" t="s">
        <v>57</v>
      </c>
      <c r="B78" s="25">
        <v>22300</v>
      </c>
      <c r="C78" s="27">
        <v>0</v>
      </c>
      <c r="D78" s="26">
        <f t="shared" si="0"/>
        <v>0</v>
      </c>
      <c r="E78" s="45">
        <f t="shared" si="1"/>
        <v>-22300</v>
      </c>
    </row>
    <row r="79" spans="1:5" ht="12.75">
      <c r="A79" s="175" t="s">
        <v>95</v>
      </c>
      <c r="B79" s="25">
        <v>0</v>
      </c>
      <c r="C79" s="27">
        <v>0</v>
      </c>
      <c r="D79" s="26" t="str">
        <f t="shared" si="0"/>
        <v>   </v>
      </c>
      <c r="E79" s="45">
        <f t="shared" si="1"/>
        <v>0</v>
      </c>
    </row>
    <row r="80" spans="1:5" ht="20.25" customHeight="1">
      <c r="A80" s="18" t="s">
        <v>17</v>
      </c>
      <c r="B80" s="31">
        <v>16000</v>
      </c>
      <c r="C80" s="31">
        <v>0</v>
      </c>
      <c r="D80" s="26">
        <f t="shared" si="0"/>
        <v>0</v>
      </c>
      <c r="E80" s="45">
        <f t="shared" si="1"/>
        <v>-16000</v>
      </c>
    </row>
    <row r="81" spans="1:5" ht="21.75" customHeight="1">
      <c r="A81" s="16" t="s">
        <v>41</v>
      </c>
      <c r="B81" s="24">
        <f>SUM(B82,)</f>
        <v>2561500</v>
      </c>
      <c r="C81" s="24">
        <f>SUM(C82,)</f>
        <v>1251800</v>
      </c>
      <c r="D81" s="26">
        <f t="shared" si="0"/>
        <v>48.86980284989264</v>
      </c>
      <c r="E81" s="45">
        <f t="shared" si="1"/>
        <v>-1309700</v>
      </c>
    </row>
    <row r="82" spans="1:5" ht="14.25" customHeight="1">
      <c r="A82" s="16" t="s">
        <v>42</v>
      </c>
      <c r="B82" s="25">
        <v>2561500</v>
      </c>
      <c r="C82" s="27">
        <v>1251800</v>
      </c>
      <c r="D82" s="26">
        <f t="shared" si="0"/>
        <v>48.86980284989264</v>
      </c>
      <c r="E82" s="45">
        <f t="shared" si="1"/>
        <v>-1309700</v>
      </c>
    </row>
    <row r="83" spans="1:5" ht="18.75" customHeight="1">
      <c r="A83" s="16" t="s">
        <v>125</v>
      </c>
      <c r="B83" s="25">
        <f>SUM(B84,)</f>
        <v>16000</v>
      </c>
      <c r="C83" s="25">
        <f>C84</f>
        <v>0</v>
      </c>
      <c r="D83" s="26">
        <f t="shared" si="0"/>
        <v>0</v>
      </c>
      <c r="E83" s="45">
        <f t="shared" si="1"/>
        <v>-16000</v>
      </c>
    </row>
    <row r="84" spans="1:5" ht="12.75" customHeight="1">
      <c r="A84" s="16" t="s">
        <v>43</v>
      </c>
      <c r="B84" s="25">
        <v>16000</v>
      </c>
      <c r="C84" s="28">
        <v>0</v>
      </c>
      <c r="D84" s="26">
        <f t="shared" si="0"/>
        <v>0</v>
      </c>
      <c r="E84" s="45">
        <f t="shared" si="1"/>
        <v>-16000</v>
      </c>
    </row>
    <row r="85" spans="1:5" ht="30.75" customHeight="1">
      <c r="A85" s="193" t="s">
        <v>15</v>
      </c>
      <c r="B85" s="24">
        <f>SUM(B46,B54,B56,B58,B68,B80,B81,B83,)</f>
        <v>5665370</v>
      </c>
      <c r="C85" s="24">
        <f>SUM(C46,C54,C56,C58,C68,C80,C81,C83,)</f>
        <v>2928586.1399999997</v>
      </c>
      <c r="D85" s="26">
        <f>IF(B85=0,"   ",C85/B85*100)</f>
        <v>51.692760402233205</v>
      </c>
      <c r="E85" s="45">
        <f t="shared" si="1"/>
        <v>-2736783.8600000003</v>
      </c>
    </row>
    <row r="86" spans="1:5" s="69" customFormat="1" ht="23.25" customHeight="1">
      <c r="A86" s="92" t="s">
        <v>176</v>
      </c>
      <c r="B86" s="92"/>
      <c r="C86" s="244"/>
      <c r="D86" s="244"/>
      <c r="E86" s="244"/>
    </row>
    <row r="87" spans="1:5" s="69" customFormat="1" ht="12" customHeight="1">
      <c r="A87" s="92" t="s">
        <v>165</v>
      </c>
      <c r="B87" s="92"/>
      <c r="C87" s="93" t="s">
        <v>177</v>
      </c>
      <c r="D87" s="94"/>
      <c r="E87" s="95"/>
    </row>
    <row r="88" spans="1:5" ht="15" customHeight="1">
      <c r="A88" s="7"/>
      <c r="B88" s="7"/>
      <c r="C88" s="6"/>
      <c r="D88" s="7"/>
      <c r="E88" s="2"/>
    </row>
    <row r="89" spans="1:5" ht="12" customHeight="1">
      <c r="A89" s="58"/>
      <c r="B89" s="58"/>
      <c r="C89" s="59"/>
      <c r="D89" s="60"/>
      <c r="E89" s="61"/>
    </row>
    <row r="90" spans="1:5" ht="12.75">
      <c r="A90" s="7"/>
      <c r="B90" s="7"/>
      <c r="C90" s="6"/>
      <c r="D90" s="7"/>
      <c r="E90" s="2"/>
    </row>
    <row r="91" spans="1:5" ht="12.75">
      <c r="A91" s="7"/>
      <c r="B91" s="7"/>
      <c r="C91" s="6"/>
      <c r="D91" s="7"/>
      <c r="E91" s="2"/>
    </row>
    <row r="92" spans="1:5" ht="12.75">
      <c r="A92" s="7"/>
      <c r="B92" s="7"/>
      <c r="C92" s="6"/>
      <c r="D92" s="7"/>
      <c r="E92" s="2"/>
    </row>
    <row r="93" spans="1:5" ht="12.75">
      <c r="A93" s="7"/>
      <c r="B93" s="7"/>
      <c r="C93" s="6"/>
      <c r="D93" s="7"/>
      <c r="E93" s="2"/>
    </row>
  </sheetData>
  <sheetProtection/>
  <mergeCells count="2">
    <mergeCell ref="A1:E1"/>
    <mergeCell ref="C86:E86"/>
  </mergeCells>
  <printOptions/>
  <pageMargins left="1.1811023622047245" right="0.7874015748031497" top="0.5118110236220472" bottom="0.4724409448818898" header="0.5118110236220472" footer="0.5118110236220472"/>
  <pageSetup fitToHeight="2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Home</cp:lastModifiedBy>
  <cp:lastPrinted>2018-07-06T10:36:50Z</cp:lastPrinted>
  <dcterms:created xsi:type="dcterms:W3CDTF">2001-03-21T05:21:19Z</dcterms:created>
  <dcterms:modified xsi:type="dcterms:W3CDTF">2018-08-06T12:30:55Z</dcterms:modified>
  <cp:category/>
  <cp:version/>
  <cp:contentType/>
  <cp:contentStatus/>
</cp:coreProperties>
</file>