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'Лист1'!$A$1:$E$109</definedName>
  </definedNames>
  <calcPr fullCalcOnLoad="1"/>
</workbook>
</file>

<file path=xl/sharedStrings.xml><?xml version="1.0" encoding="utf-8"?>
<sst xmlns="http://schemas.openxmlformats.org/spreadsheetml/2006/main" count="1096" uniqueCount="317">
  <si>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</si>
  <si>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</si>
  <si>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</si>
  <si>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</si>
  <si>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</si>
  <si>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</si>
  <si>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</si>
  <si>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</si>
  <si>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</si>
  <si>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</si>
  <si>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</si>
  <si>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</si>
  <si>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</si>
  <si>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</si>
  <si>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</si>
  <si>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</si>
  <si>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</si>
  <si>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</si>
  <si>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</si>
  <si>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</si>
  <si>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</si>
  <si>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</si>
  <si>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</si>
  <si>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</si>
  <si>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</si>
  <si>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</si>
  <si>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</si>
  <si>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</si>
  <si>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</si>
  <si>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</si>
  <si>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</si>
  <si>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</si>
  <si>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</si>
  <si>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</si>
  <si>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</si>
  <si>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</si>
  <si>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</si>
  <si>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</si>
  <si>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</si>
  <si>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</si>
  <si>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</si>
  <si>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</si>
  <si>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</si>
  <si>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</si>
  <si>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</si>
  <si>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</si>
  <si>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</si>
  <si>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</si>
  <si>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</si>
  <si>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</si>
  <si>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</si>
  <si>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</si>
  <si>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</si>
  <si>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</si>
  <si>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</si>
  <si>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</si>
  <si>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</si>
  <si>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</si>
  <si>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</si>
  <si>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</si>
  <si>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</si>
  <si>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</si>
  <si>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</si>
  <si>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</si>
  <si>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</si>
  <si>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</si>
  <si>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</si>
  <si>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</si>
  <si>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</si>
  <si>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</si>
  <si>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</si>
  <si>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</si>
  <si>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</si>
  <si>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</si>
  <si>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</si>
  <si>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</si>
  <si>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</si>
  <si>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</si>
  <si>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</si>
  <si>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</si>
  <si>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</si>
  <si>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</si>
  <si>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</si>
  <si>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</si>
  <si>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</si>
  <si>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</si>
  <si>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</si>
  <si>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</si>
  <si>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</si>
  <si>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</si>
  <si>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</si>
  <si>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</si>
  <si>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</si>
  <si>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</si>
  <si>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</si>
  <si>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</si>
  <si>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</si>
  <si>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</si>
  <si>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</si>
  <si>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</si>
  <si>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</si>
  <si>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</si>
  <si>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</si>
  <si>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</si>
  <si>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</si>
  <si>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</si>
  <si>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</si>
  <si>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</si>
  <si>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</si>
  <si>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</si>
  <si>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</si>
  <si>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</si>
  <si>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</si>
  <si>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</si>
  <si>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</si>
  <si>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</si>
  <si>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</si>
  <si>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</si>
  <si>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</si>
  <si>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</si>
  <si>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</si>
  <si>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</si>
  <si>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</si>
  <si>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</si>
  <si>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</si>
  <si>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</si>
  <si>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</si>
  <si>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</si>
  <si>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</si>
  <si>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</si>
  <si>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</si>
  <si>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</si>
  <si>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</si>
  <si>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</si>
  <si>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</si>
  <si>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</si>
  <si>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</si>
  <si>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</si>
  <si>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</si>
  <si>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</si>
  <si>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</si>
  <si>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</si>
  <si>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СУБСИДИИ  БЮДЖЕТАМ  ПОСЕЛЕНИЙ  НА КАПИТАЛЬНЫЙ РЕМОНТ И РЕМОНТ ДВОРОВЫХ ТЕРРИТОРИЙ  МНОГОКВАРТИРНЫХ ДОМОВ, ПРОЕЗДОВ К ДВОРОВЫМ  ТЕРРИТОРИЯМ  МНОГОКВАРТИРНЫХ ДОМОВ</t>
  </si>
  <si>
    <t>из  них: выполнение других обязательств государства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</si>
  <si>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</si>
  <si>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</si>
  <si>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</si>
  <si>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</si>
  <si>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</si>
  <si>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</si>
  <si>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</si>
  <si>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</si>
  <si>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</si>
  <si>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</si>
  <si>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</si>
  <si>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</si>
  <si>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</si>
  <si>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</si>
  <si>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</si>
  <si>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</si>
  <si>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</si>
  <si>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</si>
  <si>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</si>
  <si>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</si>
  <si>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</si>
  <si>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</si>
  <si>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</si>
  <si>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</si>
  <si>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</si>
  <si>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</si>
  <si>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</si>
  <si>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</si>
  <si>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</si>
  <si>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</si>
  <si>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</si>
  <si>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</si>
  <si>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</si>
  <si>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</si>
  <si>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</si>
  <si>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</si>
  <si>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</si>
  <si>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</si>
  <si>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</si>
  <si>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</si>
  <si>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</si>
  <si>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</si>
  <si>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</si>
  <si>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</si>
  <si>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</si>
  <si>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</si>
  <si>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</si>
  <si>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</si>
  <si>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</si>
  <si>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</si>
  <si>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районн. бюдж.)</t>
  </si>
  <si>
    <t>из  них:разработка схем террит. планиров., генер. планов посел., а также проектов планировки террит.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</si>
  <si>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</si>
  <si>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</si>
  <si>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>Транспорт</t>
  </si>
  <si>
    <t>в т. ч. на обеспеч. перевозок пассажиров автомоб. трансп. по соц- значимым маршрутам ( местн.)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</si>
  <si>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</si>
  <si>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</si>
  <si>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</si>
  <si>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</si>
  <si>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>СУБСИДИИ БЮДЖЕТАМ ПОСЕЛЕНИЙ НА РЕАЛИЗАЦИЮ ФЕДЕРАЛЬНЫХ ЦЕЛЕВЫХ ПРОГРАММ</t>
  </si>
  <si>
    <t>из  них: осущ. работ по актуализации госуд. кадастровой оценки земель в целях налогообложения и вовлечения земельных участков в гражд- правовой оборот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</si>
  <si>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</si>
  <si>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</si>
  <si>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</si>
  <si>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</si>
  <si>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</si>
  <si>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</si>
  <si>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</si>
  <si>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</si>
  <si>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</si>
  <si>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</si>
  <si>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</si>
  <si>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капитальный ремонт и ремонт автомобильных дорог общего пользования местного значения в границах посенления</t>
  </si>
  <si>
    <t>в том числе : средства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</si>
  <si>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</si>
  <si>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</si>
  <si>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</si>
  <si>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в т.ч. : за счет средств районного бюджета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</si>
  <si>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</si>
  <si>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</si>
  <si>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том числе субсидии на проектирование и строительство автомобильных дорог</t>
  </si>
  <si>
    <t>в том числе субсидии на повышение оплаты труда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</si>
  <si>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</si>
  <si>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</si>
  <si>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</si>
  <si>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</si>
  <si>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в  том числе : на расходы по  оплате за ПСД по стр-ву СДК на 100 мест</t>
  </si>
  <si>
    <t>из  них: проведение землеустроительных (кадастровых) работ  по земельным участкам, находящимся в  собственности  муниципального образования, и внесение сведений в кадастр недвижимости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</si>
  <si>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</si>
  <si>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</si>
  <si>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</si>
  <si>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</si>
  <si>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</si>
  <si>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</si>
  <si>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</si>
  <si>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>Софинансирование расходов на повышение заработной платы работников учреждений культуры (ср-ва посел.)</t>
  </si>
  <si>
    <t xml:space="preserve">                      ср-ва поселений (софинансир.)</t>
  </si>
  <si>
    <t>прочие выплаты по обязательствам  муниципального образования</t>
  </si>
  <si>
    <t>Уточненный план на 2018 год</t>
  </si>
  <si>
    <t>% исполне-ния к  годовому плану  на 2018 г.</t>
  </si>
  <si>
    <t>Отклонение от годового плана 2018 г ( +, - )</t>
  </si>
  <si>
    <t>% исполнения к  годовому плану  на 2018 г.</t>
  </si>
  <si>
    <t xml:space="preserve">Отклонение от годового плана 2018 г ( +, - )         </t>
  </si>
  <si>
    <t>% исполнения к  годовому плану  на 2018г.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</si>
  <si>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</si>
  <si>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</si>
  <si>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из них: создание условий для максимального вовлечения в хозяйственный оборот муниципального имущества, в том числе земельных участков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</si>
  <si>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</si>
  <si>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</si>
  <si>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</si>
  <si>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</si>
  <si>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</si>
  <si>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</si>
  <si>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</si>
  <si>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</si>
  <si>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</si>
  <si>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местн. бюдж.)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</si>
  <si>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</si>
  <si>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</si>
  <si>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</si>
  <si>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</si>
  <si>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</si>
  <si>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</si>
  <si>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</si>
  <si>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</si>
  <si>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</si>
  <si>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</si>
  <si>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</si>
  <si>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</si>
  <si>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</si>
  <si>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</si>
  <si>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</si>
  <si>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</si>
  <si>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</si>
  <si>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</si>
  <si>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</si>
  <si>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</si>
  <si>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</si>
  <si>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</si>
  <si>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</si>
  <si>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</si>
  <si>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</si>
  <si>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</si>
  <si>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</si>
  <si>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</si>
  <si>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</si>
  <si>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</si>
  <si>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</si>
  <si>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</si>
  <si>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</si>
  <si>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</si>
  <si>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</si>
  <si>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</si>
  <si>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Анализ исполнения бюджета  Янгильдинского сельского поселения за  октябрь  2018 года</t>
  </si>
  <si>
    <t>Фактическое исполнение за  октябрь    2018 года</t>
  </si>
  <si>
    <t>Анализ   исполнения   бюджетов   поселений   за   октябрь   2018 года.</t>
  </si>
  <si>
    <t>Фактическое исполнение за   октябрь  2018 года</t>
  </si>
  <si>
    <t>Анализ исполнения бюджета  Тюрлеминского сельского поселения за  октябрь  2018 года</t>
  </si>
  <si>
    <t>Фактическое исполнение за  октябрь  2018 года</t>
  </si>
  <si>
    <t>Анализ исполнения бюджета  Солдыбаевского сельского поселения за  октябрь   2018 года</t>
  </si>
  <si>
    <t>Анализ исполнения бюджета  Козловского  городского  поселения  за  октябрь    2018  года</t>
  </si>
  <si>
    <t>Фактическое исполнение за октябрь  2018 года</t>
  </si>
  <si>
    <t>Анализ исполнения бюджета  Карачевского сельского поселения за  октябрь    2018 года</t>
  </si>
  <si>
    <t>Анализ исполнения бюджета  Карамышевского сельского поселения за  октябрь     2018 года</t>
  </si>
  <si>
    <t>Анализ исполнения бюджета  Еметкинского сельского поселения за   октябрь    2018 года</t>
  </si>
  <si>
    <t>Фактическое исполнение за   октябрь    2018 года</t>
  </si>
  <si>
    <t>Анализ исполнения бюджета  Байгуловского сельского поселения за  октябрь     2018 года</t>
  </si>
  <si>
    <t>Анализ исполнения бюджета Аттиковского сельского поселения за  октябрь    2018 года</t>
  </si>
  <si>
    <t>Анализ  исполнения бюджета Андреево-Базарского сельского поселения за октябрь  2018 года</t>
  </si>
  <si>
    <t>Фактическое исполнение за  октябрь     2018 года</t>
  </si>
  <si>
    <t>М.В.Хорькова</t>
  </si>
  <si>
    <t>доходы от продажи земельных участков, находящиеся в муниципальной собственности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</si>
</sst>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1" fontId="0" fillId="0" borderId="0" xfId="59" applyFont="1" applyFill="1" applyAlignment="1">
      <alignment horizontal="right"/>
    </xf>
    <xf numFmtId="41" fontId="0" fillId="0" borderId="0" xfId="59" applyFont="1" applyFill="1" applyAlignment="1">
      <alignment horizontal="right" wrapText="1"/>
    </xf>
    <xf numFmtId="41" fontId="0" fillId="0" borderId="0" xfId="59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59" applyFont="1" applyFill="1" applyAlignment="1">
      <alignment/>
    </xf>
    <xf numFmtId="41" fontId="0" fillId="0" borderId="0" xfId="59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0" xfId="59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41" fontId="0" fillId="0" borderId="10" xfId="59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" fontId="0" fillId="0" borderId="12" xfId="59" applyNumberFormat="1" applyFont="1" applyFill="1" applyBorder="1" applyAlignment="1">
      <alignment horizontal="center" wrapText="1"/>
    </xf>
    <xf numFmtId="41" fontId="0" fillId="0" borderId="12" xfId="59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1" fontId="6" fillId="0" borderId="0" xfId="5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1" fontId="5" fillId="0" borderId="14" xfId="59" applyFont="1" applyFill="1" applyBorder="1" applyAlignment="1">
      <alignment horizontal="center" vertical="center" wrapText="1"/>
    </xf>
    <xf numFmtId="1" fontId="0" fillId="0" borderId="15" xfId="59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1" fontId="5" fillId="0" borderId="17" xfId="5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59" applyFont="1" applyFill="1" applyAlignment="1">
      <alignment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59" applyNumberFormat="1" applyFont="1" applyFill="1" applyBorder="1" applyAlignment="1">
      <alignment wrapText="1"/>
    </xf>
    <xf numFmtId="41" fontId="0" fillId="0" borderId="0" xfId="59" applyFill="1" applyAlignment="1">
      <alignment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2" xfId="59" applyNumberFormat="1" applyFill="1" applyBorder="1" applyAlignment="1">
      <alignment horizontal="center" wrapText="1"/>
    </xf>
    <xf numFmtId="41" fontId="0" fillId="0" borderId="10" xfId="59" applyFill="1" applyBorder="1" applyAlignment="1">
      <alignment wrapText="1"/>
    </xf>
    <xf numFmtId="41" fontId="0" fillId="0" borderId="12" xfId="59" applyFill="1" applyBorder="1" applyAlignment="1">
      <alignment horizontal="right" wrapText="1"/>
    </xf>
    <xf numFmtId="41" fontId="0" fillId="0" borderId="0" xfId="59" applyFill="1" applyAlignment="1">
      <alignment wrapText="1"/>
    </xf>
    <xf numFmtId="41" fontId="0" fillId="0" borderId="0" xfId="59" applyFill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2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0" xfId="59" applyFont="1" applyFill="1" applyBorder="1" applyAlignment="1">
      <alignment wrapText="1"/>
    </xf>
    <xf numFmtId="41" fontId="0" fillId="0" borderId="12" xfId="5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41" fontId="4" fillId="0" borderId="10" xfId="59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165" fontId="4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1" fillId="0" borderId="10" xfId="59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0" borderId="25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7" fillId="0" borderId="18" xfId="0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right" wrapText="1"/>
    </xf>
    <xf numFmtId="2" fontId="2" fillId="0" borderId="19" xfId="59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2" fontId="0" fillId="0" borderId="19" xfId="0" applyNumberForma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2" fontId="4" fillId="0" borderId="12" xfId="59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3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59" applyFont="1" applyFill="1" applyAlignment="1">
      <alignment wrapText="1"/>
    </xf>
    <xf numFmtId="41" fontId="0" fillId="0" borderId="0" xfId="59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5" xfId="59" applyNumberFormat="1" applyFont="1" applyFill="1" applyBorder="1" applyAlignment="1">
      <alignment horizontal="right" wrapText="1"/>
    </xf>
    <xf numFmtId="2" fontId="0" fillId="0" borderId="25" xfId="0" applyNumberFormat="1" applyFill="1" applyBorder="1" applyAlignment="1">
      <alignment horizontal="right" wrapText="1"/>
    </xf>
    <xf numFmtId="2" fontId="0" fillId="0" borderId="30" xfId="0" applyNumberFormat="1" applyFill="1" applyBorder="1" applyAlignment="1">
      <alignment wrapText="1"/>
    </xf>
    <xf numFmtId="4" fontId="14" fillId="33" borderId="10" xfId="0" applyNumberFormat="1" applyFont="1" applyFill="1" applyBorder="1" applyAlignment="1">
      <alignment wrapText="1"/>
    </xf>
    <xf numFmtId="4" fontId="14" fillId="0" borderId="10" xfId="59" applyNumberFormat="1" applyFont="1" applyFill="1" applyBorder="1" applyAlignment="1">
      <alignment horizontal="right" wrapText="1"/>
    </xf>
    <xf numFmtId="164" fontId="14" fillId="0" borderId="10" xfId="55" applyNumberFormat="1" applyFont="1" applyFill="1" applyBorder="1" applyAlignment="1">
      <alignment wrapText="1"/>
    </xf>
    <xf numFmtId="4" fontId="14" fillId="0" borderId="12" xfId="0" applyNumberFormat="1" applyFont="1" applyFill="1" applyBorder="1" applyAlignment="1">
      <alignment wrapText="1"/>
    </xf>
    <xf numFmtId="2" fontId="14" fillId="33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2" fontId="4" fillId="0" borderId="10" xfId="59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59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2" fontId="14" fillId="0" borderId="10" xfId="55" applyNumberFormat="1" applyFont="1" applyFill="1" applyBorder="1" applyAlignment="1">
      <alignment wrapText="1"/>
    </xf>
    <xf numFmtId="2" fontId="14" fillId="0" borderId="12" xfId="59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55" applyNumberFormat="1" applyFont="1" applyFill="1" applyBorder="1" applyAlignment="1">
      <alignment wrapText="1"/>
    </xf>
    <xf numFmtId="2" fontId="15" fillId="0" borderId="12" xfId="59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2" fontId="16" fillId="0" borderId="10" xfId="55" applyNumberFormat="1" applyFont="1" applyFill="1" applyBorder="1" applyAlignment="1">
      <alignment wrapText="1"/>
    </xf>
    <xf numFmtId="2" fontId="16" fillId="0" borderId="12" xfId="59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59" applyNumberFormat="1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2" fontId="0" fillId="0" borderId="30" xfId="0" applyNumberFormat="1" applyFont="1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59" applyFont="1" applyFill="1" applyAlignment="1">
      <alignment horizontal="center"/>
    </xf>
    <xf numFmtId="41" fontId="6" fillId="0" borderId="0" xfId="59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59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view="pageBreakPreview" zoomScaleNormal="75" zoomScaleSheetLayoutView="100" zoomScalePageLayoutView="0" workbookViewId="0" topLeftCell="A1">
      <selection activeCell="A114" sqref="A114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48" t="s">
        <v>313</v>
      </c>
      <c r="B1" s="248"/>
      <c r="C1" s="248"/>
      <c r="D1" s="248"/>
      <c r="E1" s="24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6.75" customHeight="1">
      <c r="A3" s="34" t="s">
        <v>1</v>
      </c>
      <c r="B3" s="19" t="s">
        <v>243</v>
      </c>
      <c r="C3" s="32" t="s">
        <v>314</v>
      </c>
      <c r="D3" s="19" t="s">
        <v>244</v>
      </c>
      <c r="E3" s="36" t="s">
        <v>245</v>
      </c>
    </row>
    <row r="4" spans="1:5" s="66" customFormat="1" ht="10.5" customHeight="1">
      <c r="A4" s="62">
        <v>1</v>
      </c>
      <c r="B4" s="86">
        <v>2</v>
      </c>
      <c r="C4" s="63">
        <v>3</v>
      </c>
      <c r="D4" s="64">
        <v>4</v>
      </c>
      <c r="E4" s="65">
        <v>5</v>
      </c>
    </row>
    <row r="5" spans="1:5" s="69" customFormat="1" ht="12.75">
      <c r="A5" s="22" t="s">
        <v>2</v>
      </c>
      <c r="B5" s="11"/>
      <c r="C5" s="67"/>
      <c r="D5" s="31"/>
      <c r="E5" s="68"/>
    </row>
    <row r="6" spans="1:5" s="9" customFormat="1" ht="12.75" customHeight="1" hidden="1">
      <c r="A6" s="70" t="s">
        <v>25</v>
      </c>
      <c r="B6" s="71"/>
      <c r="C6" s="71" t="e">
        <f>SUM(C7,C11,C16,C19,#REF!,#REF!,C10,)</f>
        <v>#REF!</v>
      </c>
      <c r="D6" s="72" t="e">
        <f>IF(#REF!=0,"   ",C6/#REF!)</f>
        <v>#REF!</v>
      </c>
      <c r="E6" s="73" t="e">
        <f>C6-#REF!</f>
        <v>#REF!</v>
      </c>
    </row>
    <row r="7" spans="1:5" s="78" customFormat="1" ht="12.75">
      <c r="A7" s="74" t="s">
        <v>45</v>
      </c>
      <c r="B7" s="75">
        <f>SUM(B9)</f>
        <v>161600</v>
      </c>
      <c r="C7" s="75">
        <f>C9</f>
        <v>114612.92</v>
      </c>
      <c r="D7" s="76">
        <f>IF(B7=0,"   ",C7/B7*100)</f>
        <v>70.92383663366336</v>
      </c>
      <c r="E7" s="77">
        <f>C7-B7</f>
        <v>-46987.08</v>
      </c>
    </row>
    <row r="8" spans="1:5" s="69" customFormat="1" ht="12.75" customHeight="1" hidden="1">
      <c r="A8" s="43" t="s">
        <v>3</v>
      </c>
      <c r="B8" s="31">
        <v>387940</v>
      </c>
      <c r="C8" s="79">
        <v>217766</v>
      </c>
      <c r="D8" s="76" t="e">
        <f>IF(#REF!=0,"   ",C8/#REF!)</f>
        <v>#REF!</v>
      </c>
      <c r="E8" s="77" t="e">
        <f>C8-#REF!</f>
        <v>#REF!</v>
      </c>
    </row>
    <row r="9" spans="1:5" s="69" customFormat="1" ht="12.75">
      <c r="A9" s="43" t="s">
        <v>113</v>
      </c>
      <c r="B9" s="31">
        <v>161600</v>
      </c>
      <c r="C9" s="79">
        <v>114612.92</v>
      </c>
      <c r="D9" s="76">
        <f>IF(B9=0,"   ",C9/B9*100)</f>
        <v>70.92383663366336</v>
      </c>
      <c r="E9" s="77">
        <f>C9-B9</f>
        <v>-46987.08</v>
      </c>
    </row>
    <row r="10" spans="1:5" s="69" customFormat="1" ht="12.75" customHeight="1" hidden="1">
      <c r="A10" s="43" t="s">
        <v>24</v>
      </c>
      <c r="B10" s="31"/>
      <c r="C10" s="79">
        <v>175</v>
      </c>
      <c r="D10" s="76"/>
      <c r="E10" s="77"/>
    </row>
    <row r="11" spans="1:5" s="78" customFormat="1" ht="12.75" customHeight="1" hidden="1">
      <c r="A11" s="43" t="s">
        <v>4</v>
      </c>
      <c r="B11" s="31">
        <f>SUM(B12:B13)</f>
        <v>1848003</v>
      </c>
      <c r="C11" s="31">
        <f>SUM(C12:C13)</f>
        <v>1704024</v>
      </c>
      <c r="D11" s="76" t="e">
        <f>IF(#REF!=0,"   ",C11/#REF!)</f>
        <v>#REF!</v>
      </c>
      <c r="E11" s="77" t="e">
        <f>C11-#REF!</f>
        <v>#REF!</v>
      </c>
    </row>
    <row r="12" spans="1:5" s="69" customFormat="1" ht="12.75" customHeight="1" hidden="1">
      <c r="A12" s="43" t="s">
        <v>5</v>
      </c>
      <c r="B12" s="31">
        <v>17853</v>
      </c>
      <c r="C12" s="79">
        <v>13730</v>
      </c>
      <c r="D12" s="76" t="e">
        <f>IF(#REF!=0,"   ",C12/#REF!)</f>
        <v>#REF!</v>
      </c>
      <c r="E12" s="77" t="e">
        <f>C12-#REF!</f>
        <v>#REF!</v>
      </c>
    </row>
    <row r="13" spans="1:5" s="69" customFormat="1" ht="12.75" customHeight="1" hidden="1">
      <c r="A13" s="43" t="s">
        <v>6</v>
      </c>
      <c r="B13" s="31">
        <v>1830150</v>
      </c>
      <c r="C13" s="79">
        <v>1690294</v>
      </c>
      <c r="D13" s="76" t="e">
        <f>IF(#REF!=0,"   ",C13/#REF!)</f>
        <v>#REF!</v>
      </c>
      <c r="E13" s="77" t="e">
        <f>C13-#REF!</f>
        <v>#REF!</v>
      </c>
    </row>
    <row r="14" spans="1:5" s="69" customFormat="1" ht="12.75" customHeight="1">
      <c r="A14" s="74" t="s">
        <v>144</v>
      </c>
      <c r="B14" s="75">
        <f>SUM(B15)</f>
        <v>510200</v>
      </c>
      <c r="C14" s="75">
        <f>SUM(C15)</f>
        <v>445914.63</v>
      </c>
      <c r="D14" s="76">
        <f>IF(B14=0,"   ",C14/B14*100)</f>
        <v>87.39996667973344</v>
      </c>
      <c r="E14" s="77">
        <f>C14-B14</f>
        <v>-64285.369999999995</v>
      </c>
    </row>
    <row r="15" spans="1:5" s="69" customFormat="1" ht="15.75" customHeight="1">
      <c r="A15" s="43" t="s">
        <v>145</v>
      </c>
      <c r="B15" s="31">
        <v>510200</v>
      </c>
      <c r="C15" s="79">
        <v>445914.63</v>
      </c>
      <c r="D15" s="76">
        <f>IF(B15=0,"   ",C15/B15*100)</f>
        <v>87.39996667973344</v>
      </c>
      <c r="E15" s="77">
        <f>C15-B15</f>
        <v>-64285.369999999995</v>
      </c>
    </row>
    <row r="16" spans="1:5" s="78" customFormat="1" ht="17.25" customHeight="1">
      <c r="A16" s="43" t="s">
        <v>7</v>
      </c>
      <c r="B16" s="75">
        <f>SUM(B18)</f>
        <v>82900</v>
      </c>
      <c r="C16" s="31">
        <f>SUM(C18:C18)</f>
        <v>19484.56</v>
      </c>
      <c r="D16" s="76">
        <f>IF(B16=0,"   ",C16/B16*100)</f>
        <v>23.503691194209893</v>
      </c>
      <c r="E16" s="77">
        <f>C16-B16</f>
        <v>-63415.44</v>
      </c>
    </row>
    <row r="17" spans="1:5" s="69" customFormat="1" ht="12.75" customHeight="1" hidden="1">
      <c r="A17" s="43" t="s">
        <v>8</v>
      </c>
      <c r="B17" s="31">
        <v>103725</v>
      </c>
      <c r="C17" s="79">
        <v>92515</v>
      </c>
      <c r="D17" s="76" t="e">
        <f>IF(#REF!=0,"   ",C17/#REF!)</f>
        <v>#REF!</v>
      </c>
      <c r="E17" s="77" t="e">
        <f>C17-#REF!</f>
        <v>#REF!</v>
      </c>
    </row>
    <row r="18" spans="1:5" s="69" customFormat="1" ht="17.25" customHeight="1">
      <c r="A18" s="43" t="s">
        <v>114</v>
      </c>
      <c r="B18" s="31">
        <v>82900</v>
      </c>
      <c r="C18" s="79">
        <v>19484.56</v>
      </c>
      <c r="D18" s="76">
        <f aca="true" t="shared" si="0" ref="D18:D35">IF(B18=0,"   ",C18/B18*100)</f>
        <v>23.503691194209893</v>
      </c>
      <c r="E18" s="77">
        <f aca="true" t="shared" si="1" ref="E18:E35">C18-B18</f>
        <v>-63415.44</v>
      </c>
    </row>
    <row r="19" spans="1:5" s="69" customFormat="1" ht="18" customHeight="1">
      <c r="A19" s="43" t="s">
        <v>9</v>
      </c>
      <c r="B19" s="31">
        <f>SUM(B20:B21)</f>
        <v>960000</v>
      </c>
      <c r="C19" s="31">
        <f>SUM(C20:C21)</f>
        <v>434073.95999999996</v>
      </c>
      <c r="D19" s="76">
        <f t="shared" si="0"/>
        <v>45.21603749999999</v>
      </c>
      <c r="E19" s="77">
        <f t="shared" si="1"/>
        <v>-525926.04</v>
      </c>
    </row>
    <row r="20" spans="1:5" s="69" customFormat="1" ht="12.75">
      <c r="A20" s="43" t="s">
        <v>115</v>
      </c>
      <c r="B20" s="31">
        <v>113000</v>
      </c>
      <c r="C20" s="79">
        <v>27599.62</v>
      </c>
      <c r="D20" s="76">
        <f t="shared" si="0"/>
        <v>24.424442477876106</v>
      </c>
      <c r="E20" s="77">
        <f t="shared" si="1"/>
        <v>-85400.38</v>
      </c>
    </row>
    <row r="21" spans="1:5" s="69" customFormat="1" ht="16.5" customHeight="1">
      <c r="A21" s="43" t="s">
        <v>173</v>
      </c>
      <c r="B21" s="31">
        <f>SUM(B22:B23)</f>
        <v>847000</v>
      </c>
      <c r="C21" s="31">
        <f>SUM(C22:C23)</f>
        <v>406474.33999999997</v>
      </c>
      <c r="D21" s="76">
        <f t="shared" si="0"/>
        <v>47.98988665879575</v>
      </c>
      <c r="E21" s="77">
        <f t="shared" si="1"/>
        <v>-440525.66000000003</v>
      </c>
    </row>
    <row r="22" spans="1:5" s="69" customFormat="1" ht="12.75">
      <c r="A22" s="43" t="s">
        <v>174</v>
      </c>
      <c r="B22" s="31">
        <v>276100</v>
      </c>
      <c r="C22" s="79">
        <v>290405.11</v>
      </c>
      <c r="D22" s="76">
        <f t="shared" si="0"/>
        <v>105.18113364722925</v>
      </c>
      <c r="E22" s="77">
        <f t="shared" si="1"/>
        <v>14305.109999999986</v>
      </c>
    </row>
    <row r="23" spans="1:5" s="69" customFormat="1" ht="12.75">
      <c r="A23" s="43" t="s">
        <v>175</v>
      </c>
      <c r="B23" s="31">
        <v>570900</v>
      </c>
      <c r="C23" s="79">
        <v>116069.23</v>
      </c>
      <c r="D23" s="76">
        <f t="shared" si="0"/>
        <v>20.33092135225083</v>
      </c>
      <c r="E23" s="77">
        <f t="shared" si="1"/>
        <v>-454830.77</v>
      </c>
    </row>
    <row r="24" spans="1:5" s="69" customFormat="1" ht="12.75">
      <c r="A24" s="43" t="s">
        <v>252</v>
      </c>
      <c r="B24" s="31">
        <v>0</v>
      </c>
      <c r="C24" s="79">
        <v>5250</v>
      </c>
      <c r="D24" s="76" t="str">
        <f t="shared" si="0"/>
        <v>   </v>
      </c>
      <c r="E24" s="77">
        <f t="shared" si="1"/>
        <v>5250</v>
      </c>
    </row>
    <row r="25" spans="1:5" s="69" customFormat="1" ht="19.5" customHeight="1">
      <c r="A25" s="43" t="s">
        <v>88</v>
      </c>
      <c r="B25" s="31">
        <v>0</v>
      </c>
      <c r="C25" s="31">
        <v>0</v>
      </c>
      <c r="D25" s="76" t="str">
        <f t="shared" si="0"/>
        <v>   </v>
      </c>
      <c r="E25" s="77">
        <f t="shared" si="1"/>
        <v>0</v>
      </c>
    </row>
    <row r="26" spans="1:5" s="69" customFormat="1" ht="24.75" customHeight="1">
      <c r="A26" s="43" t="s">
        <v>28</v>
      </c>
      <c r="B26" s="31">
        <f>SUM(B27:B29)</f>
        <v>281000</v>
      </c>
      <c r="C26" s="31">
        <f>SUM(C27:C29)</f>
        <v>162388.64</v>
      </c>
      <c r="D26" s="76">
        <f t="shared" si="0"/>
        <v>57.7895516014235</v>
      </c>
      <c r="E26" s="77">
        <f t="shared" si="1"/>
        <v>-118611.35999999999</v>
      </c>
    </row>
    <row r="27" spans="1:5" s="69" customFormat="1" ht="12.75">
      <c r="A27" s="43" t="s">
        <v>163</v>
      </c>
      <c r="B27" s="31">
        <v>281000</v>
      </c>
      <c r="C27" s="79">
        <v>160026.44</v>
      </c>
      <c r="D27" s="76">
        <f t="shared" si="0"/>
        <v>56.94891103202847</v>
      </c>
      <c r="E27" s="77">
        <f t="shared" si="1"/>
        <v>-120973.56</v>
      </c>
    </row>
    <row r="28" spans="1:5" s="69" customFormat="1" ht="15.75" customHeight="1">
      <c r="A28" s="43" t="s">
        <v>30</v>
      </c>
      <c r="B28" s="31">
        <v>0</v>
      </c>
      <c r="C28" s="79">
        <v>0</v>
      </c>
      <c r="D28" s="76" t="str">
        <f t="shared" si="0"/>
        <v>   </v>
      </c>
      <c r="E28" s="77">
        <f t="shared" si="1"/>
        <v>0</v>
      </c>
    </row>
    <row r="29" spans="1:5" s="69" customFormat="1" ht="44.25" customHeight="1">
      <c r="A29" s="16" t="s">
        <v>294</v>
      </c>
      <c r="B29" s="31">
        <v>0</v>
      </c>
      <c r="C29" s="79">
        <v>2362.2</v>
      </c>
      <c r="D29" s="76" t="str">
        <f t="shared" si="0"/>
        <v>   </v>
      </c>
      <c r="E29" s="77">
        <f t="shared" si="1"/>
        <v>2362.2</v>
      </c>
    </row>
    <row r="30" spans="1:5" s="69" customFormat="1" ht="18.75" customHeight="1">
      <c r="A30" s="43" t="s">
        <v>92</v>
      </c>
      <c r="B30" s="75">
        <v>0</v>
      </c>
      <c r="C30" s="79">
        <v>0</v>
      </c>
      <c r="D30" s="76" t="str">
        <f t="shared" si="0"/>
        <v>   </v>
      </c>
      <c r="E30" s="77">
        <f t="shared" si="1"/>
        <v>0</v>
      </c>
    </row>
    <row r="31" spans="1:5" s="69" customFormat="1" ht="16.5" customHeight="1">
      <c r="A31" s="43" t="s">
        <v>78</v>
      </c>
      <c r="B31" s="75">
        <f>B32+B33</f>
        <v>503325.92</v>
      </c>
      <c r="C31" s="75">
        <f>C32+C33</f>
        <v>619754.44</v>
      </c>
      <c r="D31" s="76">
        <f t="shared" si="0"/>
        <v>123.13183473642684</v>
      </c>
      <c r="E31" s="77">
        <f t="shared" si="1"/>
        <v>116428.51999999996</v>
      </c>
    </row>
    <row r="32" spans="1:5" s="69" customFormat="1" ht="16.5" customHeight="1">
      <c r="A32" s="43" t="s">
        <v>139</v>
      </c>
      <c r="B32" s="75">
        <v>503325.92</v>
      </c>
      <c r="C32" s="75">
        <v>519264.19</v>
      </c>
      <c r="D32" s="76">
        <f t="shared" si="0"/>
        <v>103.16659034766182</v>
      </c>
      <c r="E32" s="77">
        <f t="shared" si="1"/>
        <v>15938.270000000019</v>
      </c>
    </row>
    <row r="33" spans="1:5" s="69" customFormat="1" ht="27.75" customHeight="1">
      <c r="A33" s="43" t="s">
        <v>264</v>
      </c>
      <c r="B33" s="31">
        <v>0</v>
      </c>
      <c r="C33" s="202">
        <v>100490.25</v>
      </c>
      <c r="D33" s="76" t="str">
        <f t="shared" si="0"/>
        <v>   </v>
      </c>
      <c r="E33" s="77">
        <f t="shared" si="1"/>
        <v>100490.25</v>
      </c>
    </row>
    <row r="34" spans="1:5" s="69" customFormat="1" ht="15.75" customHeight="1">
      <c r="A34" s="16" t="s">
        <v>31</v>
      </c>
      <c r="B34" s="31">
        <v>0</v>
      </c>
      <c r="C34" s="202">
        <v>0</v>
      </c>
      <c r="D34" s="76" t="str">
        <f t="shared" si="0"/>
        <v>   </v>
      </c>
      <c r="E34" s="77">
        <f t="shared" si="1"/>
        <v>0</v>
      </c>
    </row>
    <row r="35" spans="1:5" s="69" customFormat="1" ht="15" customHeight="1">
      <c r="A35" s="43" t="s">
        <v>32</v>
      </c>
      <c r="B35" s="31">
        <f>B38+B39</f>
        <v>0</v>
      </c>
      <c r="C35" s="31">
        <f>SUM(C38:C39)</f>
        <v>0</v>
      </c>
      <c r="D35" s="76" t="str">
        <f t="shared" si="0"/>
        <v>   </v>
      </c>
      <c r="E35" s="77">
        <f t="shared" si="1"/>
        <v>0</v>
      </c>
    </row>
    <row r="36" spans="1:5" s="69" customFormat="1" ht="12.75" customHeight="1" hidden="1">
      <c r="A36" s="80" t="s">
        <v>33</v>
      </c>
      <c r="B36" s="31"/>
      <c r="C36" s="81"/>
      <c r="D36" s="76" t="e">
        <f>IF(#REF!=0,"   ",C36/#REF!)</f>
        <v>#REF!</v>
      </c>
      <c r="E36" s="77" t="e">
        <f>C36-#REF!</f>
        <v>#REF!</v>
      </c>
    </row>
    <row r="37" spans="1:5" s="9" customFormat="1" ht="12.75" customHeight="1" hidden="1">
      <c r="A37" s="80" t="s">
        <v>16</v>
      </c>
      <c r="B37" s="44" t="e">
        <f>SUM(B44,#REF!,#REF!,#REF!)</f>
        <v>#REF!</v>
      </c>
      <c r="C37" s="46" t="e">
        <f>SUM(C44,#REF!,#REF!,#REF!)</f>
        <v>#REF!</v>
      </c>
      <c r="D37" s="76" t="e">
        <f>IF(#REF!=0,"   ",C37/#REF!)</f>
        <v>#REF!</v>
      </c>
      <c r="E37" s="77" t="e">
        <f>C37-#REF!</f>
        <v>#REF!</v>
      </c>
    </row>
    <row r="38" spans="1:5" s="9" customFormat="1" ht="12.75">
      <c r="A38" s="43" t="s">
        <v>138</v>
      </c>
      <c r="B38" s="96">
        <v>0</v>
      </c>
      <c r="C38" s="165">
        <v>0</v>
      </c>
      <c r="D38" s="76" t="str">
        <f>IF(B38=0,"   ",C38/B38*100)</f>
        <v>   </v>
      </c>
      <c r="E38" s="77">
        <f>C38-B38</f>
        <v>0</v>
      </c>
    </row>
    <row r="39" spans="1:5" s="9" customFormat="1" ht="15" customHeight="1">
      <c r="A39" s="43" t="s">
        <v>109</v>
      </c>
      <c r="B39" s="31">
        <v>0</v>
      </c>
      <c r="C39" s="75">
        <v>0</v>
      </c>
      <c r="D39" s="76" t="str">
        <f>IF(B39=0,"   ",C39/B39*100)</f>
        <v>   </v>
      </c>
      <c r="E39" s="77">
        <f>C39-B39</f>
        <v>0</v>
      </c>
    </row>
    <row r="40" spans="1:5" s="9" customFormat="1" ht="12.75" customHeight="1" hidden="1">
      <c r="A40" s="43" t="s">
        <v>46</v>
      </c>
      <c r="B40" s="44"/>
      <c r="C40" s="75">
        <v>0</v>
      </c>
      <c r="D40" s="76" t="e">
        <f>IF(#REF!=0,"   ",C40/#REF!)</f>
        <v>#REF!</v>
      </c>
      <c r="E40" s="77" t="e">
        <f>C40-#REF!</f>
        <v>#REF!</v>
      </c>
    </row>
    <row r="41" spans="1:5" s="9" customFormat="1" ht="0.75" customHeight="1" hidden="1">
      <c r="A41" s="101" t="s">
        <v>47</v>
      </c>
      <c r="B41" s="102">
        <v>1250</v>
      </c>
      <c r="C41" s="103"/>
      <c r="D41" s="104" t="e">
        <f>IF(#REF!=0,"   ",C41/#REF!)</f>
        <v>#REF!</v>
      </c>
      <c r="E41" s="105" t="e">
        <f>C41-#REF!</f>
        <v>#REF!</v>
      </c>
    </row>
    <row r="42" spans="1:5" s="9" customFormat="1" ht="22.5" customHeight="1">
      <c r="A42" s="215" t="s">
        <v>10</v>
      </c>
      <c r="B42" s="167">
        <f>B7+B16+B19+B25+B26+B30+B31+B35+B14+B34+B24</f>
        <v>2499025.92</v>
      </c>
      <c r="C42" s="167">
        <f>C7+C16+C19+C25+C26+C30+C31+C35+C14+C34+C24</f>
        <v>1801479.15</v>
      </c>
      <c r="D42" s="157">
        <f aca="true" t="shared" si="2" ref="D42:D54">IF(B42=0,"   ",C42/B42*100)</f>
        <v>72.087253500756</v>
      </c>
      <c r="E42" s="216">
        <f aca="true" t="shared" si="3" ref="E42:E54">C42-B42</f>
        <v>-697546.77</v>
      </c>
    </row>
    <row r="43" spans="1:5" s="9" customFormat="1" ht="18.75" customHeight="1">
      <c r="A43" s="200" t="s">
        <v>147</v>
      </c>
      <c r="B43" s="201">
        <f>SUM(B44:B46,B49:B51,B54)</f>
        <v>1315900</v>
      </c>
      <c r="C43" s="201">
        <f>SUM(C44:C46,C49:C51,C54)</f>
        <v>925033</v>
      </c>
      <c r="D43" s="76">
        <f t="shared" si="2"/>
        <v>70.29660308534083</v>
      </c>
      <c r="E43" s="79">
        <f t="shared" si="3"/>
        <v>-390867</v>
      </c>
    </row>
    <row r="44" spans="1:5" s="69" customFormat="1" ht="19.5" customHeight="1">
      <c r="A44" s="106" t="s">
        <v>34</v>
      </c>
      <c r="B44" s="107">
        <v>410000</v>
      </c>
      <c r="C44" s="203">
        <v>340900</v>
      </c>
      <c r="D44" s="90">
        <f t="shared" si="2"/>
        <v>83.14634146341463</v>
      </c>
      <c r="E44" s="91">
        <f t="shared" si="3"/>
        <v>-69100</v>
      </c>
    </row>
    <row r="45" spans="1:5" s="69" customFormat="1" ht="30" customHeight="1">
      <c r="A45" s="124" t="s">
        <v>51</v>
      </c>
      <c r="B45" s="125">
        <v>71300</v>
      </c>
      <c r="C45" s="125">
        <v>71300</v>
      </c>
      <c r="D45" s="126">
        <f t="shared" si="2"/>
        <v>100</v>
      </c>
      <c r="E45" s="127">
        <f t="shared" si="3"/>
        <v>0</v>
      </c>
    </row>
    <row r="46" spans="1:5" s="69" customFormat="1" ht="30" customHeight="1">
      <c r="A46" s="124" t="s">
        <v>157</v>
      </c>
      <c r="B46" s="125">
        <f>SUM(B47:B48)</f>
        <v>4100</v>
      </c>
      <c r="C46" s="125">
        <f>SUM(C47:C48)</f>
        <v>100</v>
      </c>
      <c r="D46" s="126">
        <f t="shared" si="2"/>
        <v>2.4390243902439024</v>
      </c>
      <c r="E46" s="127">
        <f t="shared" si="3"/>
        <v>-4000</v>
      </c>
    </row>
    <row r="47" spans="1:5" s="69" customFormat="1" ht="18" customHeight="1">
      <c r="A47" s="124" t="s">
        <v>176</v>
      </c>
      <c r="B47" s="125">
        <v>100</v>
      </c>
      <c r="C47" s="125">
        <v>100</v>
      </c>
      <c r="D47" s="126">
        <f t="shared" si="2"/>
        <v>100</v>
      </c>
      <c r="E47" s="127">
        <f t="shared" si="3"/>
        <v>0</v>
      </c>
    </row>
    <row r="48" spans="1:5" s="69" customFormat="1" ht="30" customHeight="1">
      <c r="A48" s="124" t="s">
        <v>177</v>
      </c>
      <c r="B48" s="125">
        <v>4000</v>
      </c>
      <c r="C48" s="125">
        <v>0</v>
      </c>
      <c r="D48" s="126">
        <f t="shared" si="2"/>
        <v>0</v>
      </c>
      <c r="E48" s="127">
        <f t="shared" si="3"/>
        <v>-4000</v>
      </c>
    </row>
    <row r="49" spans="1:5" s="69" customFormat="1" ht="40.5" customHeight="1">
      <c r="A49" s="16" t="s">
        <v>104</v>
      </c>
      <c r="B49" s="125">
        <v>90000</v>
      </c>
      <c r="C49" s="125">
        <v>0</v>
      </c>
      <c r="D49" s="126">
        <f t="shared" si="2"/>
        <v>0</v>
      </c>
      <c r="E49" s="127">
        <f t="shared" si="3"/>
        <v>-90000</v>
      </c>
    </row>
    <row r="50" spans="1:5" s="69" customFormat="1" ht="18.75" customHeight="1">
      <c r="A50" s="16" t="s">
        <v>184</v>
      </c>
      <c r="B50" s="125">
        <v>0</v>
      </c>
      <c r="C50" s="125">
        <v>0</v>
      </c>
      <c r="D50" s="126" t="str">
        <f t="shared" si="2"/>
        <v>   </v>
      </c>
      <c r="E50" s="127">
        <f t="shared" si="3"/>
        <v>0</v>
      </c>
    </row>
    <row r="51" spans="1:5" s="69" customFormat="1" ht="18" customHeight="1">
      <c r="A51" s="43" t="s">
        <v>54</v>
      </c>
      <c r="B51" s="31">
        <f>B53+B52</f>
        <v>650500</v>
      </c>
      <c r="C51" s="31">
        <f>C53+C52</f>
        <v>422733</v>
      </c>
      <c r="D51" s="76">
        <f t="shared" si="2"/>
        <v>64.9858570330515</v>
      </c>
      <c r="E51" s="77">
        <f t="shared" si="3"/>
        <v>-227767</v>
      </c>
    </row>
    <row r="52" spans="1:5" s="69" customFormat="1" ht="18" customHeight="1">
      <c r="A52" s="56" t="s">
        <v>224</v>
      </c>
      <c r="B52" s="31">
        <v>270000</v>
      </c>
      <c r="C52" s="31">
        <v>270000</v>
      </c>
      <c r="D52" s="76">
        <f t="shared" si="2"/>
        <v>100</v>
      </c>
      <c r="E52" s="77">
        <f t="shared" si="3"/>
        <v>0</v>
      </c>
    </row>
    <row r="53" spans="1:5" s="69" customFormat="1" ht="20.25" customHeight="1">
      <c r="A53" s="56" t="s">
        <v>110</v>
      </c>
      <c r="B53" s="31">
        <v>380500</v>
      </c>
      <c r="C53" s="31">
        <v>152733</v>
      </c>
      <c r="D53" s="76">
        <f t="shared" si="2"/>
        <v>40.14007884362681</v>
      </c>
      <c r="E53" s="77">
        <f t="shared" si="3"/>
        <v>-227767</v>
      </c>
    </row>
    <row r="54" spans="1:5" s="69" customFormat="1" ht="29.25" customHeight="1">
      <c r="A54" s="16" t="s">
        <v>255</v>
      </c>
      <c r="B54" s="31">
        <v>90000</v>
      </c>
      <c r="C54" s="31">
        <v>90000</v>
      </c>
      <c r="D54" s="76">
        <f t="shared" si="2"/>
        <v>100</v>
      </c>
      <c r="E54" s="77">
        <f t="shared" si="3"/>
        <v>0</v>
      </c>
    </row>
    <row r="55" spans="1:5" s="69" customFormat="1" ht="27" customHeight="1">
      <c r="A55" s="30" t="s">
        <v>11</v>
      </c>
      <c r="B55" s="167">
        <f>B42+B43</f>
        <v>3814925.92</v>
      </c>
      <c r="C55" s="167">
        <f>C42+C43</f>
        <v>2726512.15</v>
      </c>
      <c r="D55" s="157">
        <f aca="true" t="shared" si="4" ref="D55:D81">IF(B55=0,"   ",C55/B55*100)</f>
        <v>71.46959619074333</v>
      </c>
      <c r="E55" s="158">
        <f aca="true" t="shared" si="5" ref="E55:E81">C55-B55</f>
        <v>-1088413.77</v>
      </c>
    </row>
    <row r="56" spans="1:5" s="8" customFormat="1" ht="13.5" thickBot="1">
      <c r="A56" s="121" t="s">
        <v>12</v>
      </c>
      <c r="B56" s="122"/>
      <c r="C56" s="123"/>
      <c r="D56" s="104"/>
      <c r="E56" s="105"/>
    </row>
    <row r="57" spans="1:5" s="69" customFormat="1" ht="18.75" customHeight="1" thickBot="1">
      <c r="A57" s="113" t="s">
        <v>35</v>
      </c>
      <c r="B57" s="114">
        <f>SUM(B58,B60:B61)</f>
        <v>1155800</v>
      </c>
      <c r="C57" s="114">
        <f>SUM(C58,C60:C61)</f>
        <v>800190.71</v>
      </c>
      <c r="D57" s="108">
        <f t="shared" si="4"/>
        <v>69.23262761723481</v>
      </c>
      <c r="E57" s="109">
        <f t="shared" si="5"/>
        <v>-355609.29000000004</v>
      </c>
    </row>
    <row r="58" spans="1:5" s="69" customFormat="1" ht="17.25" customHeight="1" thickBot="1">
      <c r="A58" s="111" t="s">
        <v>36</v>
      </c>
      <c r="B58" s="112">
        <v>1034300</v>
      </c>
      <c r="C58" s="114">
        <v>800190.71</v>
      </c>
      <c r="D58" s="90">
        <f t="shared" si="4"/>
        <v>77.3654365271198</v>
      </c>
      <c r="E58" s="91">
        <f t="shared" si="5"/>
        <v>-234109.29000000004</v>
      </c>
    </row>
    <row r="59" spans="1:5" s="69" customFormat="1" ht="18" customHeight="1">
      <c r="A59" s="43" t="s">
        <v>121</v>
      </c>
      <c r="B59" s="31">
        <v>730000</v>
      </c>
      <c r="C59" s="81">
        <v>572280.48</v>
      </c>
      <c r="D59" s="76">
        <f t="shared" si="4"/>
        <v>78.39458630136986</v>
      </c>
      <c r="E59" s="77">
        <f t="shared" si="5"/>
        <v>-157719.52000000002</v>
      </c>
    </row>
    <row r="60" spans="1:5" s="69" customFormat="1" ht="15.75" customHeight="1">
      <c r="A60" s="43" t="s">
        <v>96</v>
      </c>
      <c r="B60" s="31">
        <v>500</v>
      </c>
      <c r="C60" s="81">
        <v>0</v>
      </c>
      <c r="D60" s="76">
        <f t="shared" si="4"/>
        <v>0</v>
      </c>
      <c r="E60" s="77">
        <f t="shared" si="5"/>
        <v>-500</v>
      </c>
    </row>
    <row r="61" spans="1:5" s="69" customFormat="1" ht="12.75">
      <c r="A61" s="43" t="s">
        <v>52</v>
      </c>
      <c r="B61" s="31">
        <f>SUM(B62,B63)</f>
        <v>121000</v>
      </c>
      <c r="C61" s="31">
        <f>SUM(C62,C63)</f>
        <v>0</v>
      </c>
      <c r="D61" s="76">
        <f t="shared" si="4"/>
        <v>0</v>
      </c>
      <c r="E61" s="77">
        <f t="shared" si="5"/>
        <v>-121000</v>
      </c>
    </row>
    <row r="62" spans="1:5" s="69" customFormat="1" ht="28.5" customHeight="1">
      <c r="A62" s="120" t="s">
        <v>166</v>
      </c>
      <c r="B62" s="31">
        <v>0</v>
      </c>
      <c r="C62" s="79">
        <v>0</v>
      </c>
      <c r="D62" s="76" t="str">
        <f t="shared" si="4"/>
        <v>   </v>
      </c>
      <c r="E62" s="79">
        <f t="shared" si="5"/>
        <v>0</v>
      </c>
    </row>
    <row r="63" spans="1:5" s="69" customFormat="1" ht="17.25" customHeight="1" thickBot="1">
      <c r="A63" s="237" t="s">
        <v>289</v>
      </c>
      <c r="B63" s="31">
        <v>121000</v>
      </c>
      <c r="C63" s="79">
        <v>0</v>
      </c>
      <c r="D63" s="76">
        <f t="shared" si="4"/>
        <v>0</v>
      </c>
      <c r="E63" s="79">
        <f t="shared" si="5"/>
        <v>-121000</v>
      </c>
    </row>
    <row r="64" spans="1:5" s="69" customFormat="1" ht="13.5" thickBot="1">
      <c r="A64" s="113" t="s">
        <v>49</v>
      </c>
      <c r="B64" s="243">
        <f>SUM(B65)</f>
        <v>71300</v>
      </c>
      <c r="C64" s="243">
        <f>SUM(C65)</f>
        <v>56000.6</v>
      </c>
      <c r="D64" s="244">
        <f t="shared" si="4"/>
        <v>78.5422159887798</v>
      </c>
      <c r="E64" s="245">
        <f t="shared" si="5"/>
        <v>-15299.400000000001</v>
      </c>
    </row>
    <row r="65" spans="1:5" s="69" customFormat="1" ht="20.25" customHeight="1" thickBot="1">
      <c r="A65" s="87" t="s">
        <v>108</v>
      </c>
      <c r="B65" s="115">
        <v>71300</v>
      </c>
      <c r="C65" s="89">
        <v>56000.6</v>
      </c>
      <c r="D65" s="117">
        <f t="shared" si="4"/>
        <v>78.5422159887798</v>
      </c>
      <c r="E65" s="118">
        <f t="shared" si="5"/>
        <v>-15299.400000000001</v>
      </c>
    </row>
    <row r="66" spans="1:5" s="69" customFormat="1" ht="13.5" thickBot="1">
      <c r="A66" s="113" t="s">
        <v>37</v>
      </c>
      <c r="B66" s="114">
        <f>SUM(B67)</f>
        <v>20400</v>
      </c>
      <c r="C66" s="114">
        <f>SUM(C67)</f>
        <v>20400</v>
      </c>
      <c r="D66" s="108">
        <f t="shared" si="4"/>
        <v>100</v>
      </c>
      <c r="E66" s="109">
        <f t="shared" si="5"/>
        <v>0</v>
      </c>
    </row>
    <row r="67" spans="1:5" s="69" customFormat="1" ht="13.5" thickBot="1">
      <c r="A67" s="87" t="s">
        <v>130</v>
      </c>
      <c r="B67" s="115">
        <v>20400</v>
      </c>
      <c r="C67" s="89">
        <v>20400</v>
      </c>
      <c r="D67" s="117">
        <f t="shared" si="4"/>
        <v>100</v>
      </c>
      <c r="E67" s="118">
        <f t="shared" si="5"/>
        <v>0</v>
      </c>
    </row>
    <row r="68" spans="1:5" s="69" customFormat="1" ht="13.5" thickBot="1">
      <c r="A68" s="113" t="s">
        <v>38</v>
      </c>
      <c r="B68" s="114">
        <f>B69+B72+B82</f>
        <v>1166100</v>
      </c>
      <c r="C68" s="114">
        <f>C69+C72+C82</f>
        <v>704233</v>
      </c>
      <c r="D68" s="108">
        <f t="shared" si="4"/>
        <v>60.39216190721207</v>
      </c>
      <c r="E68" s="109">
        <f t="shared" si="5"/>
        <v>-461867</v>
      </c>
    </row>
    <row r="69" spans="1:5" s="69" customFormat="1" ht="19.5" customHeight="1" thickBot="1">
      <c r="A69" s="87" t="s">
        <v>178</v>
      </c>
      <c r="B69" s="114">
        <f>SUM(B70+B71)</f>
        <v>4000</v>
      </c>
      <c r="C69" s="114">
        <f>SUM(C70+C71)</f>
        <v>0</v>
      </c>
      <c r="D69" s="108">
        <f>IF(B69=0,"   ",C69/B69*100)</f>
        <v>0</v>
      </c>
      <c r="E69" s="109">
        <f>C69-B69</f>
        <v>-4000</v>
      </c>
    </row>
    <row r="70" spans="1:5" s="69" customFormat="1" ht="17.25" customHeight="1" thickBot="1">
      <c r="A70" s="164" t="s">
        <v>179</v>
      </c>
      <c r="B70" s="115">
        <v>4000</v>
      </c>
      <c r="C70" s="114">
        <v>0</v>
      </c>
      <c r="D70" s="108">
        <f>IF(B70=0,"   ",C70/B70*100)</f>
        <v>0</v>
      </c>
      <c r="E70" s="109">
        <f>C70-B70</f>
        <v>-4000</v>
      </c>
    </row>
    <row r="71" spans="1:5" s="69" customFormat="1" ht="17.25" customHeight="1" thickBot="1">
      <c r="A71" s="164" t="s">
        <v>227</v>
      </c>
      <c r="B71" s="115">
        <v>0</v>
      </c>
      <c r="C71" s="114">
        <v>0</v>
      </c>
      <c r="D71" s="108"/>
      <c r="E71" s="109"/>
    </row>
    <row r="72" spans="1:5" s="69" customFormat="1" ht="18.75" customHeight="1">
      <c r="A72" s="164" t="s">
        <v>134</v>
      </c>
      <c r="B72" s="112">
        <f>SUM(B73,B77:B81)</f>
        <v>1064100</v>
      </c>
      <c r="C72" s="112">
        <f>SUM(C73,C77:C81)</f>
        <v>704233</v>
      </c>
      <c r="D72" s="90">
        <f t="shared" si="4"/>
        <v>66.18109200263133</v>
      </c>
      <c r="E72" s="91">
        <f t="shared" si="5"/>
        <v>-359867</v>
      </c>
    </row>
    <row r="73" spans="1:5" s="69" customFormat="1" ht="18.75" customHeight="1">
      <c r="A73" s="120" t="s">
        <v>265</v>
      </c>
      <c r="B73" s="134">
        <f>SUM(B74+B75+B76)</f>
        <v>450000</v>
      </c>
      <c r="C73" s="134">
        <f>SUM(C74+C75+C76)</f>
        <v>450000</v>
      </c>
      <c r="D73" s="90">
        <f>IF(B73=0,"   ",C73/B73*100)</f>
        <v>100</v>
      </c>
      <c r="E73" s="91">
        <f>C73-B73</f>
        <v>0</v>
      </c>
    </row>
    <row r="74" spans="1:5" s="69" customFormat="1" ht="33" customHeight="1">
      <c r="A74" s="120" t="s">
        <v>223</v>
      </c>
      <c r="B74" s="112">
        <v>270000</v>
      </c>
      <c r="C74" s="112">
        <v>270000</v>
      </c>
      <c r="D74" s="90">
        <f>IF(B74=0,"   ",C74/B74*100)</f>
        <v>100</v>
      </c>
      <c r="E74" s="91">
        <f>C74-B74</f>
        <v>0</v>
      </c>
    </row>
    <row r="75" spans="1:5" s="69" customFormat="1" ht="26.25" customHeight="1">
      <c r="A75" s="120" t="s">
        <v>266</v>
      </c>
      <c r="B75" s="112">
        <v>90000</v>
      </c>
      <c r="C75" s="112">
        <v>90000</v>
      </c>
      <c r="D75" s="90">
        <f>IF(B75=0,"   ",C75/B75*100)</f>
        <v>100</v>
      </c>
      <c r="E75" s="91">
        <f>C75-B75</f>
        <v>0</v>
      </c>
    </row>
    <row r="76" spans="1:5" s="69" customFormat="1" ht="28.5" customHeight="1">
      <c r="A76" s="120" t="s">
        <v>279</v>
      </c>
      <c r="B76" s="112">
        <v>90000</v>
      </c>
      <c r="C76" s="112">
        <v>90000</v>
      </c>
      <c r="D76" s="90">
        <f>IF(B76=0,"   ",C76/B76*100)</f>
        <v>100</v>
      </c>
      <c r="E76" s="91">
        <f>C76-B76</f>
        <v>0</v>
      </c>
    </row>
    <row r="77" spans="1:5" s="69" customFormat="1" ht="12" customHeight="1">
      <c r="A77" s="87" t="s">
        <v>160</v>
      </c>
      <c r="B77" s="31">
        <v>0</v>
      </c>
      <c r="C77" s="31">
        <v>0</v>
      </c>
      <c r="D77" s="90" t="str">
        <f t="shared" si="4"/>
        <v>   </v>
      </c>
      <c r="E77" s="91">
        <f t="shared" si="5"/>
        <v>0</v>
      </c>
    </row>
    <row r="78" spans="1:5" s="69" customFormat="1" ht="14.25" customHeight="1">
      <c r="A78" s="87" t="s">
        <v>156</v>
      </c>
      <c r="B78" s="31">
        <v>0</v>
      </c>
      <c r="C78" s="31">
        <v>0</v>
      </c>
      <c r="D78" s="90" t="str">
        <f t="shared" si="4"/>
        <v>   </v>
      </c>
      <c r="E78" s="91">
        <f t="shared" si="5"/>
        <v>0</v>
      </c>
    </row>
    <row r="79" spans="1:5" s="69" customFormat="1" ht="19.5" customHeight="1">
      <c r="A79" s="87" t="s">
        <v>158</v>
      </c>
      <c r="B79" s="31">
        <v>11500</v>
      </c>
      <c r="C79" s="31">
        <v>0</v>
      </c>
      <c r="D79" s="90">
        <f t="shared" si="4"/>
        <v>0</v>
      </c>
      <c r="E79" s="166">
        <f t="shared" si="5"/>
        <v>-11500</v>
      </c>
    </row>
    <row r="80" spans="1:5" s="69" customFormat="1" ht="25.5">
      <c r="A80" s="82" t="s">
        <v>135</v>
      </c>
      <c r="B80" s="31">
        <v>380500</v>
      </c>
      <c r="C80" s="31">
        <v>152733</v>
      </c>
      <c r="D80" s="76">
        <f t="shared" si="4"/>
        <v>40.14007884362681</v>
      </c>
      <c r="E80" s="79">
        <f t="shared" si="5"/>
        <v>-227767</v>
      </c>
    </row>
    <row r="81" spans="1:5" s="69" customFormat="1" ht="25.5">
      <c r="A81" s="82" t="s">
        <v>136</v>
      </c>
      <c r="B81" s="31">
        <v>222100</v>
      </c>
      <c r="C81" s="31">
        <v>101500</v>
      </c>
      <c r="D81" s="76">
        <f t="shared" si="4"/>
        <v>45.70013507429086</v>
      </c>
      <c r="E81" s="79">
        <f t="shared" si="5"/>
        <v>-120600</v>
      </c>
    </row>
    <row r="82" spans="1:5" s="69" customFormat="1" ht="12.75">
      <c r="A82" s="111" t="s">
        <v>207</v>
      </c>
      <c r="B82" s="31">
        <f>SUM(B83+B84)</f>
        <v>98000</v>
      </c>
      <c r="C82" s="31">
        <f>SUM(C83+C84)</f>
        <v>0</v>
      </c>
      <c r="D82" s="76">
        <f>IF(B82=0,"   ",C82/B82*100)</f>
        <v>0</v>
      </c>
      <c r="E82" s="79">
        <f>C82-B82</f>
        <v>-98000</v>
      </c>
    </row>
    <row r="83" spans="1:5" s="69" customFormat="1" ht="25.5">
      <c r="A83" s="87" t="s">
        <v>208</v>
      </c>
      <c r="B83" s="31">
        <v>43000</v>
      </c>
      <c r="C83" s="31">
        <v>0</v>
      </c>
      <c r="D83" s="76">
        <f>IF(B83=0,"   ",C83/B83*100)</f>
        <v>0</v>
      </c>
      <c r="E83" s="79">
        <f>C83-B83</f>
        <v>-43000</v>
      </c>
    </row>
    <row r="84" spans="1:5" s="69" customFormat="1" ht="26.25" thickBot="1">
      <c r="A84" s="87" t="s">
        <v>283</v>
      </c>
      <c r="B84" s="31">
        <v>55000</v>
      </c>
      <c r="C84" s="31">
        <v>0</v>
      </c>
      <c r="D84" s="76">
        <f>IF(B84=0,"   ",C84/B84*100)</f>
        <v>0</v>
      </c>
      <c r="E84" s="79">
        <f>C84-B84</f>
        <v>-55000</v>
      </c>
    </row>
    <row r="85" spans="1:5" s="69" customFormat="1" ht="13.5" thickBot="1">
      <c r="A85" s="113" t="s">
        <v>13</v>
      </c>
      <c r="B85" s="31">
        <f>B93+B88+B90+B98</f>
        <v>504125.92000000004</v>
      </c>
      <c r="C85" s="31">
        <f>C93+C88+C90+C98</f>
        <v>238544.16</v>
      </c>
      <c r="D85" s="76">
        <f>IF(B85=0,"   ",C85/B85*100)</f>
        <v>47.31836839494386</v>
      </c>
      <c r="E85" s="79">
        <f>C85-B85</f>
        <v>-265581.76</v>
      </c>
    </row>
    <row r="86" spans="1:5" s="69" customFormat="1" ht="12.75" customHeight="1" hidden="1">
      <c r="A86" s="111" t="s">
        <v>40</v>
      </c>
      <c r="B86" s="112" t="e">
        <f>SUM(#REF!,B93,#REF!)</f>
        <v>#REF!</v>
      </c>
      <c r="C86" s="112" t="e">
        <f>SUM(#REF!,C93,#REF!)</f>
        <v>#REF!</v>
      </c>
      <c r="D86" s="90" t="e">
        <f>IF(#REF!=0,"   ",C86/#REF!)</f>
        <v>#REF!</v>
      </c>
      <c r="E86" s="91" t="e">
        <f>C86-#REF!</f>
        <v>#REF!</v>
      </c>
    </row>
    <row r="87" spans="1:5" s="69" customFormat="1" ht="12.75" customHeight="1" hidden="1">
      <c r="A87" s="43" t="s">
        <v>18</v>
      </c>
      <c r="B87" s="31">
        <v>851563</v>
      </c>
      <c r="C87" s="79">
        <v>851563</v>
      </c>
      <c r="D87" s="76" t="e">
        <f>IF(#REF!=0,"   ",C87/#REF!)</f>
        <v>#REF!</v>
      </c>
      <c r="E87" s="77" t="e">
        <f>C87-#REF!</f>
        <v>#REF!</v>
      </c>
    </row>
    <row r="88" spans="1:5" s="69" customFormat="1" ht="12.75" customHeight="1">
      <c r="A88" s="43" t="s">
        <v>167</v>
      </c>
      <c r="B88" s="31">
        <f>SUM(B89)</f>
        <v>0</v>
      </c>
      <c r="C88" s="31">
        <f>SUM(C89)</f>
        <v>0</v>
      </c>
      <c r="D88" s="76" t="str">
        <f>IF(B88=0,"   ",C88/B88*100)</f>
        <v>   </v>
      </c>
      <c r="E88" s="79">
        <f>C88-B88</f>
        <v>0</v>
      </c>
    </row>
    <row r="89" spans="1:5" s="69" customFormat="1" ht="12.75" customHeight="1">
      <c r="A89" s="43" t="s">
        <v>168</v>
      </c>
      <c r="B89" s="31">
        <v>0</v>
      </c>
      <c r="C89" s="31">
        <v>0</v>
      </c>
      <c r="D89" s="76" t="str">
        <f>IF(B89=0,"   ",C89/B89*100)</f>
        <v>   </v>
      </c>
      <c r="E89" s="79">
        <f>C89-B89</f>
        <v>0</v>
      </c>
    </row>
    <row r="90" spans="1:5" s="69" customFormat="1" ht="12.75" customHeight="1">
      <c r="A90" s="43" t="s">
        <v>159</v>
      </c>
      <c r="B90" s="31">
        <f>SUM(B91+B92)</f>
        <v>70319.51999999999</v>
      </c>
      <c r="C90" s="31">
        <f>SUM(C91+C92)</f>
        <v>60119.52</v>
      </c>
      <c r="D90" s="76">
        <f>IF(B90=0,"   ",C90/B90*100)</f>
        <v>85.49478153434495</v>
      </c>
      <c r="E90" s="79">
        <f>C90-B90</f>
        <v>-10199.999999999993</v>
      </c>
    </row>
    <row r="91" spans="1:5" s="69" customFormat="1" ht="12.75" customHeight="1">
      <c r="A91" s="16" t="s">
        <v>170</v>
      </c>
      <c r="B91" s="31">
        <v>53025.92</v>
      </c>
      <c r="C91" s="31">
        <v>42825.92</v>
      </c>
      <c r="D91" s="76">
        <f>IF(B91=0,"   ",C91/B91*100)</f>
        <v>80.76412441311722</v>
      </c>
      <c r="E91" s="79">
        <f>C91-B91</f>
        <v>-10200</v>
      </c>
    </row>
    <row r="92" spans="1:5" s="69" customFormat="1" ht="12.75" customHeight="1">
      <c r="A92" s="16" t="s">
        <v>253</v>
      </c>
      <c r="B92" s="31">
        <v>17293.6</v>
      </c>
      <c r="C92" s="31">
        <v>17293.6</v>
      </c>
      <c r="D92" s="76">
        <f>IF(B92=0,"   ",C92/B92*100)</f>
        <v>100</v>
      </c>
      <c r="E92" s="218">
        <f>C92-B92</f>
        <v>0</v>
      </c>
    </row>
    <row r="93" spans="1:5" s="69" customFormat="1" ht="12.75">
      <c r="A93" s="43" t="s">
        <v>58</v>
      </c>
      <c r="B93" s="31">
        <f>SUM(B94:B96)</f>
        <v>433806.4</v>
      </c>
      <c r="C93" s="31">
        <f>SUM(C94:C96)</f>
        <v>178424.64</v>
      </c>
      <c r="D93" s="76">
        <f aca="true" t="shared" si="6" ref="D93:D103">IF(B93=0,"   ",C93/B93*100)</f>
        <v>41.130015601429584</v>
      </c>
      <c r="E93" s="77">
        <f aca="true" t="shared" si="7" ref="E93:E103">C93-B93</f>
        <v>-255381.76</v>
      </c>
    </row>
    <row r="94" spans="1:5" s="69" customFormat="1" ht="15" customHeight="1">
      <c r="A94" s="43" t="s">
        <v>56</v>
      </c>
      <c r="B94" s="31">
        <v>235000</v>
      </c>
      <c r="C94" s="79">
        <v>160524.64</v>
      </c>
      <c r="D94" s="76">
        <f t="shared" si="6"/>
        <v>68.30835744680851</v>
      </c>
      <c r="E94" s="77">
        <f t="shared" si="7"/>
        <v>-74475.35999999999</v>
      </c>
    </row>
    <row r="95" spans="1:5" s="69" customFormat="1" ht="32.25" customHeight="1">
      <c r="A95" s="120" t="s">
        <v>180</v>
      </c>
      <c r="B95" s="102">
        <v>140000</v>
      </c>
      <c r="C95" s="84">
        <v>0</v>
      </c>
      <c r="D95" s="104">
        <f t="shared" si="6"/>
        <v>0</v>
      </c>
      <c r="E95" s="105">
        <f t="shared" si="7"/>
        <v>-140000</v>
      </c>
    </row>
    <row r="96" spans="1:5" s="69" customFormat="1" ht="17.25" customHeight="1">
      <c r="A96" s="82" t="s">
        <v>57</v>
      </c>
      <c r="B96" s="102">
        <v>58806.4</v>
      </c>
      <c r="C96" s="110">
        <v>17900</v>
      </c>
      <c r="D96" s="104">
        <f t="shared" si="6"/>
        <v>30.438863797137728</v>
      </c>
      <c r="E96" s="105">
        <f t="shared" si="7"/>
        <v>-40906.4</v>
      </c>
    </row>
    <row r="97" spans="1:5" s="69" customFormat="1" ht="17.25" customHeight="1">
      <c r="A97" s="87" t="s">
        <v>222</v>
      </c>
      <c r="B97" s="115">
        <v>0</v>
      </c>
      <c r="C97" s="116">
        <v>0</v>
      </c>
      <c r="D97" s="117" t="str">
        <f t="shared" si="6"/>
        <v>   </v>
      </c>
      <c r="E97" s="118">
        <f t="shared" si="7"/>
        <v>0</v>
      </c>
    </row>
    <row r="98" spans="1:5" s="69" customFormat="1" ht="17.25" customHeight="1" thickBot="1">
      <c r="A98" s="16" t="s">
        <v>95</v>
      </c>
      <c r="B98" s="115">
        <v>0</v>
      </c>
      <c r="C98" s="116">
        <v>0</v>
      </c>
      <c r="D98" s="117" t="str">
        <f t="shared" si="6"/>
        <v>   </v>
      </c>
      <c r="E98" s="118">
        <f t="shared" si="7"/>
        <v>0</v>
      </c>
    </row>
    <row r="99" spans="1:5" s="69" customFormat="1" ht="15" customHeight="1" thickBot="1">
      <c r="A99" s="113" t="s">
        <v>17</v>
      </c>
      <c r="B99" s="114">
        <v>8000</v>
      </c>
      <c r="C99" s="114">
        <v>0</v>
      </c>
      <c r="D99" s="108">
        <f t="shared" si="6"/>
        <v>0</v>
      </c>
      <c r="E99" s="109">
        <f t="shared" si="7"/>
        <v>-8000</v>
      </c>
    </row>
    <row r="100" spans="1:5" s="69" customFormat="1" ht="13.5" thickBot="1">
      <c r="A100" s="113" t="s">
        <v>41</v>
      </c>
      <c r="B100" s="204">
        <f>SUM(B101)</f>
        <v>881600</v>
      </c>
      <c r="C100" s="114">
        <f>SUM(C101)</f>
        <v>732800</v>
      </c>
      <c r="D100" s="108">
        <f t="shared" si="6"/>
        <v>83.12159709618875</v>
      </c>
      <c r="E100" s="109">
        <f t="shared" si="7"/>
        <v>-148800</v>
      </c>
    </row>
    <row r="101" spans="1:5" s="69" customFormat="1" ht="13.5" thickBot="1">
      <c r="A101" s="111" t="s">
        <v>42</v>
      </c>
      <c r="B101" s="112">
        <v>881600</v>
      </c>
      <c r="C101" s="119">
        <v>732800</v>
      </c>
      <c r="D101" s="90">
        <f t="shared" si="6"/>
        <v>83.12159709618875</v>
      </c>
      <c r="E101" s="91">
        <f t="shared" si="7"/>
        <v>-148800</v>
      </c>
    </row>
    <row r="102" spans="1:5" s="69" customFormat="1" ht="19.5" customHeight="1" thickBot="1">
      <c r="A102" s="113" t="s">
        <v>125</v>
      </c>
      <c r="B102" s="204">
        <f>SUM(B103)</f>
        <v>7600</v>
      </c>
      <c r="C102" s="204">
        <f>SUM(C103)</f>
        <v>7600</v>
      </c>
      <c r="D102" s="108">
        <f t="shared" si="6"/>
        <v>100</v>
      </c>
      <c r="E102" s="109">
        <f t="shared" si="7"/>
        <v>0</v>
      </c>
    </row>
    <row r="103" spans="1:5" s="69" customFormat="1" ht="16.5" customHeight="1">
      <c r="A103" s="87" t="s">
        <v>43</v>
      </c>
      <c r="B103" s="115">
        <v>7600</v>
      </c>
      <c r="C103" s="116">
        <v>7600</v>
      </c>
      <c r="D103" s="117">
        <f t="shared" si="6"/>
        <v>100</v>
      </c>
      <c r="E103" s="118">
        <f t="shared" si="7"/>
        <v>0</v>
      </c>
    </row>
    <row r="104" spans="1:5" s="69" customFormat="1" ht="16.5" customHeight="1">
      <c r="A104" s="30" t="s">
        <v>15</v>
      </c>
      <c r="B104" s="167">
        <f>SUM(B57,B64,B66,B68,B85,B99,B100,B102,)</f>
        <v>3814925.92</v>
      </c>
      <c r="C104" s="167">
        <f>SUM(C57,C64,C66,C68,C85,C99,C100,C102,)</f>
        <v>2559768.4699999997</v>
      </c>
      <c r="D104" s="157">
        <f>IF(B104=0,"   ",C104/B104*100)</f>
        <v>67.09877265454213</v>
      </c>
      <c r="E104" s="158">
        <f>C104-B104</f>
        <v>-1255157.4500000002</v>
      </c>
    </row>
    <row r="105" spans="1:5" s="69" customFormat="1" ht="12.75" customHeight="1" hidden="1">
      <c r="A105" s="87" t="s">
        <v>21</v>
      </c>
      <c r="B105" s="88"/>
      <c r="C105" s="89"/>
      <c r="D105" s="90" t="e">
        <f>IF(#REF!=0,"   ",C105/#REF!)</f>
        <v>#REF!</v>
      </c>
      <c r="E105" s="91" t="e">
        <f>C105-#REF!</f>
        <v>#REF!</v>
      </c>
    </row>
    <row r="106" spans="1:5" s="69" customFormat="1" ht="12.75" customHeight="1" hidden="1">
      <c r="A106" s="82" t="s">
        <v>22</v>
      </c>
      <c r="B106" s="83">
        <v>1122919</v>
      </c>
      <c r="C106" s="84">
        <v>815256</v>
      </c>
      <c r="D106" s="76" t="e">
        <f>IF(#REF!=0,"   ",C106/#REF!)</f>
        <v>#REF!</v>
      </c>
      <c r="E106" s="77" t="e">
        <f>C106-#REF!</f>
        <v>#REF!</v>
      </c>
    </row>
    <row r="107" spans="1:5" s="69" customFormat="1" ht="13.5" customHeight="1" hidden="1" thickBot="1">
      <c r="A107" s="82" t="s">
        <v>23</v>
      </c>
      <c r="B107" s="83">
        <v>1700000</v>
      </c>
      <c r="C107" s="110">
        <v>1700000</v>
      </c>
      <c r="D107" s="104" t="e">
        <f>IF(#REF!=0,"   ",C107/#REF!)</f>
        <v>#REF!</v>
      </c>
      <c r="E107" s="105" t="e">
        <f>C107-#REF!</f>
        <v>#REF!</v>
      </c>
    </row>
    <row r="108" spans="1:5" s="69" customFormat="1" ht="23.25" customHeight="1">
      <c r="A108" s="92" t="s">
        <v>291</v>
      </c>
      <c r="B108" s="92"/>
      <c r="C108" s="247"/>
      <c r="D108" s="247"/>
      <c r="E108" s="247"/>
    </row>
    <row r="109" spans="1:5" s="69" customFormat="1" ht="12" customHeight="1">
      <c r="A109" s="92" t="s">
        <v>165</v>
      </c>
      <c r="B109" s="92"/>
      <c r="C109" s="93" t="s">
        <v>315</v>
      </c>
      <c r="D109" s="94"/>
      <c r="E109" s="95"/>
    </row>
    <row r="110" spans="3:5" s="7" customFormat="1" ht="12.75">
      <c r="C110" s="6"/>
      <c r="E110" s="2"/>
    </row>
    <row r="111" spans="3:5" s="7" customFormat="1" ht="12.75">
      <c r="C111" s="6"/>
      <c r="E111" s="2"/>
    </row>
    <row r="112" spans="3:5" s="7" customFormat="1" ht="12.75">
      <c r="C112" s="6"/>
      <c r="E112" s="2"/>
    </row>
    <row r="113" spans="3:5" s="7" customFormat="1" ht="12.75">
      <c r="C113" s="6"/>
      <c r="E113" s="2"/>
    </row>
    <row r="114" spans="3:5" s="7" customFormat="1" ht="12.75">
      <c r="C114" s="6"/>
      <c r="E114" s="2"/>
    </row>
    <row r="115" spans="3:5" s="7" customFormat="1" ht="12.75">
      <c r="C115" s="6"/>
      <c r="E115" s="2"/>
    </row>
    <row r="116" spans="3:5" s="7" customFormat="1" ht="12.75">
      <c r="C116" s="6"/>
      <c r="E116" s="2"/>
    </row>
    <row r="117" spans="3:5" s="7" customFormat="1" ht="12.75">
      <c r="C117" s="6"/>
      <c r="E117" s="2"/>
    </row>
    <row r="118" spans="3:5" s="7" customFormat="1" ht="12.75">
      <c r="C118" s="6"/>
      <c r="E118" s="2"/>
    </row>
    <row r="119" spans="3:5" s="7" customFormat="1" ht="12.75">
      <c r="C119" s="6"/>
      <c r="E119" s="2"/>
    </row>
  </sheetData>
  <sheetProtection/>
  <mergeCells count="2">
    <mergeCell ref="C108:E108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5">
      <selection activeCell="C41" sqref="C41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49" t="s">
        <v>298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8.25" customHeight="1">
      <c r="A4" s="34" t="s">
        <v>1</v>
      </c>
      <c r="B4" s="19" t="s">
        <v>243</v>
      </c>
      <c r="C4" s="32" t="s">
        <v>299</v>
      </c>
      <c r="D4" s="19" t="s">
        <v>244</v>
      </c>
      <c r="E4" s="36" t="s">
        <v>245</v>
      </c>
    </row>
    <row r="5" spans="1:5" ht="12.75">
      <c r="A5" s="13">
        <v>1</v>
      </c>
      <c r="B5" s="85"/>
      <c r="C5" s="10">
        <v>3</v>
      </c>
      <c r="D5" s="29">
        <v>4</v>
      </c>
      <c r="E5" s="14">
        <v>5</v>
      </c>
    </row>
    <row r="6" spans="1:5" ht="24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24">
        <f>SUM(B8)</f>
        <v>30000</v>
      </c>
      <c r="C7" s="24">
        <f>SUM(C8)</f>
        <v>22922.06</v>
      </c>
      <c r="D7" s="26">
        <f aca="true" t="shared" si="0" ref="D7:D78">IF(B7=0,"   ",C7/B7*100)</f>
        <v>76.40686666666667</v>
      </c>
      <c r="E7" s="45">
        <f aca="true" t="shared" si="1" ref="E7:E79">C7-B7</f>
        <v>-7077.939999999999</v>
      </c>
    </row>
    <row r="8" spans="1:5" ht="12.75">
      <c r="A8" s="16" t="s">
        <v>44</v>
      </c>
      <c r="B8" s="25">
        <v>30000</v>
      </c>
      <c r="C8" s="27">
        <v>22922.06</v>
      </c>
      <c r="D8" s="26">
        <f t="shared" si="0"/>
        <v>76.40686666666667</v>
      </c>
      <c r="E8" s="45">
        <f t="shared" si="1"/>
        <v>-7077.939999999999</v>
      </c>
    </row>
    <row r="9" spans="1:5" ht="16.5" customHeight="1">
      <c r="A9" s="74" t="s">
        <v>144</v>
      </c>
      <c r="B9" s="24">
        <f>SUM(B10)</f>
        <v>354400</v>
      </c>
      <c r="C9" s="24">
        <f>SUM(C10)</f>
        <v>309714.71</v>
      </c>
      <c r="D9" s="26">
        <f t="shared" si="0"/>
        <v>87.39128386004515</v>
      </c>
      <c r="E9" s="45">
        <f t="shared" si="1"/>
        <v>-44685.28999999998</v>
      </c>
    </row>
    <row r="10" spans="1:5" ht="12.75">
      <c r="A10" s="43" t="s">
        <v>145</v>
      </c>
      <c r="B10" s="25">
        <v>354400</v>
      </c>
      <c r="C10" s="27">
        <v>309714.71</v>
      </c>
      <c r="D10" s="26">
        <f t="shared" si="0"/>
        <v>87.39128386004515</v>
      </c>
      <c r="E10" s="45">
        <f t="shared" si="1"/>
        <v>-44685.28999999998</v>
      </c>
    </row>
    <row r="11" spans="1:5" ht="16.5" customHeight="1">
      <c r="A11" s="16" t="s">
        <v>7</v>
      </c>
      <c r="B11" s="25">
        <f>SUM(B12:B12)</f>
        <v>700</v>
      </c>
      <c r="C11" s="25">
        <f>SUM(C12:C12)</f>
        <v>7.2</v>
      </c>
      <c r="D11" s="26">
        <f t="shared" si="0"/>
        <v>1.0285714285714285</v>
      </c>
      <c r="E11" s="45">
        <f t="shared" si="1"/>
        <v>-692.8</v>
      </c>
    </row>
    <row r="12" spans="1:5" ht="15" customHeight="1">
      <c r="A12" s="16" t="s">
        <v>26</v>
      </c>
      <c r="B12" s="25">
        <v>700</v>
      </c>
      <c r="C12" s="27">
        <v>7.2</v>
      </c>
      <c r="D12" s="26">
        <f t="shared" si="0"/>
        <v>1.0285714285714285</v>
      </c>
      <c r="E12" s="45">
        <f t="shared" si="1"/>
        <v>-692.8</v>
      </c>
    </row>
    <row r="13" spans="1:5" ht="15" customHeight="1">
      <c r="A13" s="16" t="s">
        <v>9</v>
      </c>
      <c r="B13" s="25">
        <f>SUM(B14:B15)</f>
        <v>232000</v>
      </c>
      <c r="C13" s="25">
        <f>SUM(C14:C15)</f>
        <v>177928.81</v>
      </c>
      <c r="D13" s="26">
        <f t="shared" si="0"/>
        <v>76.6934525862069</v>
      </c>
      <c r="E13" s="45">
        <f t="shared" si="1"/>
        <v>-54071.19</v>
      </c>
    </row>
    <row r="14" spans="1:5" ht="15" customHeight="1">
      <c r="A14" s="16" t="s">
        <v>112</v>
      </c>
      <c r="B14" s="25">
        <v>25000</v>
      </c>
      <c r="C14" s="27">
        <v>16839.45</v>
      </c>
      <c r="D14" s="26">
        <f t="shared" si="0"/>
        <v>67.3578</v>
      </c>
      <c r="E14" s="45">
        <f t="shared" si="1"/>
        <v>-8160.549999999999</v>
      </c>
    </row>
    <row r="15" spans="1:5" ht="15.75" customHeight="1">
      <c r="A15" s="43" t="s">
        <v>173</v>
      </c>
      <c r="B15" s="31">
        <f>SUM(B16:B17)</f>
        <v>207000</v>
      </c>
      <c r="C15" s="31">
        <f>SUM(C16:C17)</f>
        <v>161089.36</v>
      </c>
      <c r="D15" s="26">
        <f t="shared" si="0"/>
        <v>77.82094685990337</v>
      </c>
      <c r="E15" s="45">
        <f t="shared" si="1"/>
        <v>-45910.640000000014</v>
      </c>
    </row>
    <row r="16" spans="1:5" ht="15.75" customHeight="1">
      <c r="A16" s="43" t="s">
        <v>174</v>
      </c>
      <c r="B16" s="31">
        <v>110900</v>
      </c>
      <c r="C16" s="79">
        <v>96676.23</v>
      </c>
      <c r="D16" s="26">
        <f t="shared" si="0"/>
        <v>87.17423805229937</v>
      </c>
      <c r="E16" s="45">
        <f t="shared" si="1"/>
        <v>-14223.770000000004</v>
      </c>
    </row>
    <row r="17" spans="1:5" ht="15.75" customHeight="1">
      <c r="A17" s="43" t="s">
        <v>175</v>
      </c>
      <c r="B17" s="31">
        <v>96100</v>
      </c>
      <c r="C17" s="79">
        <v>64413.13</v>
      </c>
      <c r="D17" s="26">
        <f t="shared" si="0"/>
        <v>67.02719042663891</v>
      </c>
      <c r="E17" s="45">
        <f t="shared" si="1"/>
        <v>-31686.870000000003</v>
      </c>
    </row>
    <row r="18" spans="1:5" ht="15.75" customHeight="1">
      <c r="A18" s="43" t="s">
        <v>252</v>
      </c>
      <c r="B18" s="31">
        <v>0</v>
      </c>
      <c r="C18" s="79">
        <v>5900</v>
      </c>
      <c r="D18" s="26" t="str">
        <f t="shared" si="0"/>
        <v>   </v>
      </c>
      <c r="E18" s="45">
        <f t="shared" si="1"/>
        <v>5900</v>
      </c>
    </row>
    <row r="19" spans="1:5" ht="28.5" customHeight="1">
      <c r="A19" s="16" t="s">
        <v>89</v>
      </c>
      <c r="B19" s="25">
        <v>0</v>
      </c>
      <c r="C19" s="25">
        <v>0</v>
      </c>
      <c r="D19" s="26" t="str">
        <f t="shared" si="0"/>
        <v>   </v>
      </c>
      <c r="E19" s="45">
        <f t="shared" si="1"/>
        <v>0</v>
      </c>
    </row>
    <row r="20" spans="1:5" ht="25.5" customHeight="1">
      <c r="A20" s="16" t="s">
        <v>28</v>
      </c>
      <c r="B20" s="25">
        <f>SUM(B21,B22)</f>
        <v>206000</v>
      </c>
      <c r="C20" s="25">
        <f>SUM(C21,C22)</f>
        <v>161304.28</v>
      </c>
      <c r="D20" s="26">
        <f t="shared" si="0"/>
        <v>78.30304854368933</v>
      </c>
      <c r="E20" s="45">
        <f t="shared" si="1"/>
        <v>-44695.72</v>
      </c>
    </row>
    <row r="21" spans="1:5" ht="12.75">
      <c r="A21" s="16" t="s">
        <v>162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16.5" customHeight="1">
      <c r="A22" s="43" t="s">
        <v>163</v>
      </c>
      <c r="B22" s="25">
        <v>206000</v>
      </c>
      <c r="C22" s="27">
        <v>161304.28</v>
      </c>
      <c r="D22" s="26">
        <f t="shared" si="0"/>
        <v>78.30304854368933</v>
      </c>
      <c r="E22" s="45">
        <f t="shared" si="1"/>
        <v>-44695.72</v>
      </c>
    </row>
    <row r="23" spans="1:5" ht="17.25" customHeight="1">
      <c r="A23" s="41" t="s">
        <v>92</v>
      </c>
      <c r="B23" s="25">
        <v>0</v>
      </c>
      <c r="C23" s="27">
        <v>0</v>
      </c>
      <c r="D23" s="26" t="str">
        <f t="shared" si="0"/>
        <v>   </v>
      </c>
      <c r="E23" s="45">
        <f t="shared" si="1"/>
        <v>0</v>
      </c>
    </row>
    <row r="24" spans="1:5" ht="14.25" customHeight="1">
      <c r="A24" s="16" t="s">
        <v>78</v>
      </c>
      <c r="B24" s="25">
        <f>SUM(B25)</f>
        <v>0</v>
      </c>
      <c r="C24" s="25">
        <f>SUM(C25)</f>
        <v>0</v>
      </c>
      <c r="D24" s="26" t="str">
        <f t="shared" si="0"/>
        <v>   </v>
      </c>
      <c r="E24" s="45">
        <f t="shared" si="1"/>
        <v>0</v>
      </c>
    </row>
    <row r="25" spans="1:5" ht="27" customHeight="1">
      <c r="A25" s="16" t="s">
        <v>182</v>
      </c>
      <c r="B25" s="24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5.75" customHeight="1">
      <c r="A26" s="16" t="s">
        <v>32</v>
      </c>
      <c r="B26" s="25">
        <f>SUM(B28)</f>
        <v>0</v>
      </c>
      <c r="C26" s="25">
        <f>C28+C27</f>
        <v>0</v>
      </c>
      <c r="D26" s="26" t="str">
        <f t="shared" si="0"/>
        <v>   </v>
      </c>
      <c r="E26" s="45">
        <f t="shared" si="1"/>
        <v>0</v>
      </c>
    </row>
    <row r="27" spans="1:5" ht="15.75" customHeight="1">
      <c r="A27" s="16" t="s">
        <v>128</v>
      </c>
      <c r="B27" s="25">
        <v>0</v>
      </c>
      <c r="C27" s="25">
        <v>0</v>
      </c>
      <c r="D27" s="26"/>
      <c r="E27" s="45">
        <f t="shared" si="1"/>
        <v>0</v>
      </c>
    </row>
    <row r="28" spans="1:5" ht="17.25" customHeight="1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24" customHeight="1">
      <c r="A29" s="192" t="s">
        <v>10</v>
      </c>
      <c r="B29" s="44">
        <f>B7+B11+B13+B20+B23+B24+B26+B9+B19+B18</f>
        <v>823100</v>
      </c>
      <c r="C29" s="44">
        <f>C7+C11+C13+C20+C23+C24+C26+C9+C19+C18</f>
        <v>677777.06</v>
      </c>
      <c r="D29" s="26">
        <f t="shared" si="0"/>
        <v>82.34443688494716</v>
      </c>
      <c r="E29" s="45">
        <f t="shared" si="1"/>
        <v>-145322.93999999994</v>
      </c>
    </row>
    <row r="30" spans="1:5" ht="21" customHeight="1">
      <c r="A30" s="200" t="s">
        <v>147</v>
      </c>
      <c r="B30" s="214">
        <f>SUM(B31:B33,B36,B39+B40+B41)</f>
        <v>1582850.6</v>
      </c>
      <c r="C30" s="214">
        <f>SUM(C31:C33,C36,C39+C40+C41)</f>
        <v>771057.5</v>
      </c>
      <c r="D30" s="157">
        <f t="shared" si="0"/>
        <v>48.713220312769884</v>
      </c>
      <c r="E30" s="158">
        <f t="shared" si="1"/>
        <v>-811793.1000000001</v>
      </c>
    </row>
    <row r="31" spans="1:5" ht="15.75" customHeight="1">
      <c r="A31" s="17" t="s">
        <v>34</v>
      </c>
      <c r="B31" s="24">
        <v>595100</v>
      </c>
      <c r="C31" s="24">
        <v>495200</v>
      </c>
      <c r="D31" s="26">
        <f t="shared" si="0"/>
        <v>83.21290539405142</v>
      </c>
      <c r="E31" s="45">
        <f t="shared" si="1"/>
        <v>-99900</v>
      </c>
    </row>
    <row r="32" spans="1:5" ht="26.25" customHeight="1">
      <c r="A32" s="150" t="s">
        <v>51</v>
      </c>
      <c r="B32" s="151">
        <v>71200</v>
      </c>
      <c r="C32" s="154">
        <v>71200</v>
      </c>
      <c r="D32" s="152">
        <f t="shared" si="0"/>
        <v>100</v>
      </c>
      <c r="E32" s="153">
        <f t="shared" si="1"/>
        <v>0</v>
      </c>
    </row>
    <row r="33" spans="1:5" ht="29.25" customHeight="1">
      <c r="A33" s="124" t="s">
        <v>157</v>
      </c>
      <c r="B33" s="25">
        <f>SUM(B34:B35)</f>
        <v>6200</v>
      </c>
      <c r="C33" s="25">
        <f>SUM(C34:C35)</f>
        <v>1828.5</v>
      </c>
      <c r="D33" s="26">
        <f t="shared" si="0"/>
        <v>29.491935483870968</v>
      </c>
      <c r="E33" s="45">
        <f t="shared" si="1"/>
        <v>-4371.5</v>
      </c>
    </row>
    <row r="34" spans="1:5" ht="14.25" customHeight="1">
      <c r="A34" s="124" t="s">
        <v>176</v>
      </c>
      <c r="B34" s="25">
        <v>100</v>
      </c>
      <c r="C34" s="27">
        <v>100</v>
      </c>
      <c r="D34" s="26">
        <f>IF(B34=0,"   ",C34/B34*100)</f>
        <v>100</v>
      </c>
      <c r="E34" s="45">
        <f>C34-B34</f>
        <v>0</v>
      </c>
    </row>
    <row r="35" spans="1:5" ht="29.25" customHeight="1">
      <c r="A35" s="124" t="s">
        <v>177</v>
      </c>
      <c r="B35" s="25">
        <v>6100</v>
      </c>
      <c r="C35" s="27">
        <v>1728.5</v>
      </c>
      <c r="D35" s="26">
        <f>IF(B35=0,"   ",C35/B35*100)</f>
        <v>28.33606557377049</v>
      </c>
      <c r="E35" s="45">
        <f>C35-B35</f>
        <v>-4371.5</v>
      </c>
    </row>
    <row r="36" spans="1:5" ht="18" customHeight="1">
      <c r="A36" s="16" t="s">
        <v>82</v>
      </c>
      <c r="B36" s="25">
        <f>B38+B37</f>
        <v>651350.6</v>
      </c>
      <c r="C36" s="25">
        <f>C38</f>
        <v>73329</v>
      </c>
      <c r="D36" s="26">
        <f t="shared" si="0"/>
        <v>11.25799223950972</v>
      </c>
      <c r="E36" s="45">
        <f t="shared" si="1"/>
        <v>-578021.6</v>
      </c>
    </row>
    <row r="37" spans="1:5" ht="27" customHeight="1">
      <c r="A37" s="56" t="s">
        <v>224</v>
      </c>
      <c r="B37" s="25">
        <v>386550.6</v>
      </c>
      <c r="C37" s="25">
        <v>0</v>
      </c>
      <c r="D37" s="26">
        <f>IF(B37=0,"   ",C37/B37*100)</f>
        <v>0</v>
      </c>
      <c r="E37" s="45">
        <f>C37-B37</f>
        <v>-386550.6</v>
      </c>
    </row>
    <row r="38" spans="1:5" ht="17.25" customHeight="1">
      <c r="A38" s="16" t="s">
        <v>110</v>
      </c>
      <c r="B38" s="96">
        <v>264800</v>
      </c>
      <c r="C38" s="25">
        <v>73329</v>
      </c>
      <c r="D38" s="26">
        <f t="shared" si="0"/>
        <v>27.692220543806645</v>
      </c>
      <c r="E38" s="45">
        <f t="shared" si="1"/>
        <v>-191471</v>
      </c>
    </row>
    <row r="39" spans="1:5" ht="17.25" customHeight="1">
      <c r="A39" s="16" t="s">
        <v>184</v>
      </c>
      <c r="B39" s="96">
        <v>0</v>
      </c>
      <c r="C39" s="25">
        <v>0</v>
      </c>
      <c r="D39" s="26" t="str">
        <f t="shared" si="0"/>
        <v>   </v>
      </c>
      <c r="E39" s="45">
        <f t="shared" si="1"/>
        <v>0</v>
      </c>
    </row>
    <row r="40" spans="1:5" s="7" customFormat="1" ht="42" customHeight="1">
      <c r="A40" s="16" t="s">
        <v>104</v>
      </c>
      <c r="B40" s="96">
        <v>0</v>
      </c>
      <c r="C40" s="27">
        <v>0</v>
      </c>
      <c r="D40" s="26" t="str">
        <f t="shared" si="0"/>
        <v>   </v>
      </c>
      <c r="E40" s="42">
        <f t="shared" si="1"/>
        <v>0</v>
      </c>
    </row>
    <row r="41" spans="1:5" s="7" customFormat="1" ht="21" customHeight="1">
      <c r="A41" s="16" t="s">
        <v>255</v>
      </c>
      <c r="B41" s="96">
        <v>259000</v>
      </c>
      <c r="C41" s="27">
        <v>129500</v>
      </c>
      <c r="D41" s="26">
        <f t="shared" si="0"/>
        <v>50</v>
      </c>
      <c r="E41" s="42">
        <f t="shared" si="1"/>
        <v>-129500</v>
      </c>
    </row>
    <row r="42" spans="1:5" ht="19.5" customHeight="1">
      <c r="A42" s="192" t="s">
        <v>11</v>
      </c>
      <c r="B42" s="167">
        <f>SUM(B29,B30,)</f>
        <v>2405950.6</v>
      </c>
      <c r="C42" s="167">
        <f>SUM(C29,C30,)</f>
        <v>1448834.56</v>
      </c>
      <c r="D42" s="157">
        <f t="shared" si="0"/>
        <v>60.21879917235209</v>
      </c>
      <c r="E42" s="158">
        <f t="shared" si="1"/>
        <v>-957116.04</v>
      </c>
    </row>
    <row r="43" spans="1:5" ht="14.25" customHeight="1">
      <c r="A43" s="30"/>
      <c r="B43" s="24"/>
      <c r="C43" s="25"/>
      <c r="D43" s="26" t="str">
        <f t="shared" si="0"/>
        <v>   </v>
      </c>
      <c r="E43" s="45"/>
    </row>
    <row r="44" spans="1:5" ht="12.75">
      <c r="A44" s="22" t="s">
        <v>12</v>
      </c>
      <c r="B44" s="47"/>
      <c r="C44" s="48"/>
      <c r="D44" s="26" t="str">
        <f t="shared" si="0"/>
        <v>   </v>
      </c>
      <c r="E44" s="45"/>
    </row>
    <row r="45" spans="1:5" ht="18.75" customHeight="1">
      <c r="A45" s="16" t="s">
        <v>35</v>
      </c>
      <c r="B45" s="27">
        <f>SUM(B46,B48,B49)</f>
        <v>1034200</v>
      </c>
      <c r="C45" s="27">
        <f>SUM(C46,C49)</f>
        <v>821523.09</v>
      </c>
      <c r="D45" s="26">
        <f t="shared" si="0"/>
        <v>79.43561110036742</v>
      </c>
      <c r="E45" s="45">
        <f t="shared" si="1"/>
        <v>-212676.91000000003</v>
      </c>
    </row>
    <row r="46" spans="1:5" ht="16.5" customHeight="1">
      <c r="A46" s="16" t="s">
        <v>36</v>
      </c>
      <c r="B46" s="25">
        <v>1033700</v>
      </c>
      <c r="C46" s="25">
        <v>821523.09</v>
      </c>
      <c r="D46" s="26">
        <f t="shared" si="0"/>
        <v>79.47403405243301</v>
      </c>
      <c r="E46" s="45">
        <f t="shared" si="1"/>
        <v>-212176.91000000003</v>
      </c>
    </row>
    <row r="47" spans="1:5" ht="12.75">
      <c r="A47" s="97" t="s">
        <v>123</v>
      </c>
      <c r="B47" s="25">
        <v>728420</v>
      </c>
      <c r="C47" s="28">
        <v>610299.63</v>
      </c>
      <c r="D47" s="26">
        <f t="shared" si="0"/>
        <v>83.78402981796216</v>
      </c>
      <c r="E47" s="45">
        <f t="shared" si="1"/>
        <v>-118120.37</v>
      </c>
    </row>
    <row r="48" spans="1:5" ht="12.75">
      <c r="A48" s="16" t="s">
        <v>103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7">
        <f>SUM(B50)</f>
        <v>0</v>
      </c>
      <c r="C49" s="27">
        <f>SUM(C50)</f>
        <v>0</v>
      </c>
      <c r="D49" s="26" t="str">
        <f t="shared" si="0"/>
        <v>   </v>
      </c>
      <c r="E49" s="45">
        <f t="shared" si="1"/>
        <v>0</v>
      </c>
    </row>
    <row r="50" spans="1:5" ht="25.5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19.5" customHeight="1">
      <c r="A51" s="16" t="s">
        <v>49</v>
      </c>
      <c r="B51" s="27">
        <f>SUM(B52)</f>
        <v>71200</v>
      </c>
      <c r="C51" s="27">
        <f>SUM(C52)</f>
        <v>55190.71</v>
      </c>
      <c r="D51" s="26">
        <f t="shared" si="0"/>
        <v>77.51504213483146</v>
      </c>
      <c r="E51" s="45">
        <f t="shared" si="1"/>
        <v>-16009.29</v>
      </c>
    </row>
    <row r="52" spans="1:5" ht="19.5" customHeight="1">
      <c r="A52" s="16" t="s">
        <v>108</v>
      </c>
      <c r="B52" s="25">
        <v>71200</v>
      </c>
      <c r="C52" s="27">
        <v>55190.71</v>
      </c>
      <c r="D52" s="26">
        <f t="shared" si="0"/>
        <v>77.51504213483146</v>
      </c>
      <c r="E52" s="45">
        <f t="shared" si="1"/>
        <v>-16009.29</v>
      </c>
    </row>
    <row r="53" spans="1:5" ht="16.5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43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9.5" customHeight="1">
      <c r="A55" s="16" t="s">
        <v>38</v>
      </c>
      <c r="B55" s="25">
        <f>B59+B56</f>
        <v>363600</v>
      </c>
      <c r="C55" s="25">
        <f>C59+C56</f>
        <v>102918</v>
      </c>
      <c r="D55" s="26">
        <f t="shared" si="0"/>
        <v>28.305280528052805</v>
      </c>
      <c r="E55" s="45">
        <f t="shared" si="1"/>
        <v>-260682</v>
      </c>
    </row>
    <row r="56" spans="1:5" ht="19.5" customHeight="1">
      <c r="A56" s="87" t="s">
        <v>178</v>
      </c>
      <c r="B56" s="25">
        <f>SUM(B58,B57)</f>
        <v>6100</v>
      </c>
      <c r="C56" s="25">
        <f>SUM(C58,C57)</f>
        <v>0</v>
      </c>
      <c r="D56" s="26">
        <f>IF(B56=0,"   ",C56/B56*100)</f>
        <v>0</v>
      </c>
      <c r="E56" s="45">
        <f>C56-B56</f>
        <v>-6100</v>
      </c>
    </row>
    <row r="57" spans="1:5" ht="15" customHeight="1">
      <c r="A57" s="87" t="s">
        <v>183</v>
      </c>
      <c r="B57" s="25">
        <v>0</v>
      </c>
      <c r="C57" s="25">
        <v>0</v>
      </c>
      <c r="D57" s="26" t="str">
        <f>IF(B57=0,"   ",C57/B57*100)</f>
        <v>   </v>
      </c>
      <c r="E57" s="45">
        <f>C57-B57</f>
        <v>0</v>
      </c>
    </row>
    <row r="58" spans="1:5" ht="13.5" customHeight="1">
      <c r="A58" s="87" t="s">
        <v>179</v>
      </c>
      <c r="B58" s="25">
        <v>6100</v>
      </c>
      <c r="C58" s="25">
        <v>0</v>
      </c>
      <c r="D58" s="26">
        <f>IF(B58=0,"   ",C58/B58*100)</f>
        <v>0</v>
      </c>
      <c r="E58" s="45">
        <f>C58-B58</f>
        <v>-6100</v>
      </c>
    </row>
    <row r="59" spans="1:5" ht="12.75">
      <c r="A59" s="111" t="s">
        <v>134</v>
      </c>
      <c r="B59" s="25">
        <f>B60+B61+B62</f>
        <v>357500</v>
      </c>
      <c r="C59" s="25">
        <f>C60+C61+C62</f>
        <v>102918</v>
      </c>
      <c r="D59" s="26">
        <f t="shared" si="0"/>
        <v>28.788251748251746</v>
      </c>
      <c r="E59" s="45">
        <f t="shared" si="1"/>
        <v>-254582</v>
      </c>
    </row>
    <row r="60" spans="1:5" ht="19.5" customHeight="1">
      <c r="A60" s="87" t="s">
        <v>161</v>
      </c>
      <c r="B60" s="25">
        <v>0</v>
      </c>
      <c r="C60" s="25">
        <v>0</v>
      </c>
      <c r="D60" s="26" t="str">
        <f t="shared" si="0"/>
        <v>   </v>
      </c>
      <c r="E60" s="45">
        <f t="shared" si="1"/>
        <v>0</v>
      </c>
    </row>
    <row r="61" spans="1:5" ht="22.5" customHeight="1">
      <c r="A61" s="82" t="s">
        <v>135</v>
      </c>
      <c r="B61" s="25">
        <v>264800</v>
      </c>
      <c r="C61" s="25">
        <v>73329</v>
      </c>
      <c r="D61" s="26">
        <f t="shared" si="0"/>
        <v>27.692220543806645</v>
      </c>
      <c r="E61" s="45">
        <f t="shared" si="1"/>
        <v>-191471</v>
      </c>
    </row>
    <row r="62" spans="1:5" ht="25.5" customHeight="1">
      <c r="A62" s="82" t="s">
        <v>136</v>
      </c>
      <c r="B62" s="25">
        <v>92700</v>
      </c>
      <c r="C62" s="25">
        <v>29589</v>
      </c>
      <c r="D62" s="26">
        <f t="shared" si="0"/>
        <v>31.919093851132686</v>
      </c>
      <c r="E62" s="45">
        <f t="shared" si="1"/>
        <v>-63111</v>
      </c>
    </row>
    <row r="63" spans="1:5" ht="15" customHeight="1">
      <c r="A63" s="16" t="s">
        <v>13</v>
      </c>
      <c r="B63" s="25">
        <f>SUM(B69,B64)</f>
        <v>819250.6</v>
      </c>
      <c r="C63" s="25">
        <f>SUM(C69,C64)</f>
        <v>106062.89</v>
      </c>
      <c r="D63" s="26">
        <f t="shared" si="0"/>
        <v>12.946330463474789</v>
      </c>
      <c r="E63" s="45">
        <f t="shared" si="1"/>
        <v>-713187.71</v>
      </c>
    </row>
    <row r="64" spans="1:5" ht="15.75" customHeight="1">
      <c r="A64" s="16" t="s">
        <v>91</v>
      </c>
      <c r="B64" s="25">
        <f>B65</f>
        <v>645550.6</v>
      </c>
      <c r="C64" s="25">
        <f>C65</f>
        <v>0</v>
      </c>
      <c r="D64" s="26">
        <f>IF(B64=0,"   ",C64/B64*100)</f>
        <v>0</v>
      </c>
      <c r="E64" s="45">
        <f>C64-B64</f>
        <v>-645550.6</v>
      </c>
    </row>
    <row r="65" spans="1:5" ht="25.5" customHeight="1">
      <c r="A65" s="120" t="s">
        <v>265</v>
      </c>
      <c r="B65" s="25">
        <f>B66+B67+B68</f>
        <v>645550.6</v>
      </c>
      <c r="C65" s="25">
        <f>C66+C67+C68</f>
        <v>0</v>
      </c>
      <c r="D65" s="26">
        <f>IF(B65=0,"   ",C65/B65*100)</f>
        <v>0</v>
      </c>
      <c r="E65" s="45">
        <f>C65-B65</f>
        <v>-645550.6</v>
      </c>
    </row>
    <row r="66" spans="1:5" ht="25.5" customHeight="1">
      <c r="A66" s="120" t="s">
        <v>223</v>
      </c>
      <c r="B66" s="25">
        <v>386550.6</v>
      </c>
      <c r="C66" s="25">
        <v>0</v>
      </c>
      <c r="D66" s="26">
        <f>IF(B66=0,"   ",C66/B66*100)</f>
        <v>0</v>
      </c>
      <c r="E66" s="45">
        <f>C66-B66</f>
        <v>-386550.6</v>
      </c>
    </row>
    <row r="67" spans="1:5" ht="24.75" customHeight="1">
      <c r="A67" s="120" t="s">
        <v>256</v>
      </c>
      <c r="B67" s="25">
        <v>129500</v>
      </c>
      <c r="C67" s="25">
        <v>0</v>
      </c>
      <c r="D67" s="26">
        <f>IF(B67=0,"   ",C67/B67*100)</f>
        <v>0</v>
      </c>
      <c r="E67" s="45">
        <f>C67-B67</f>
        <v>-129500</v>
      </c>
    </row>
    <row r="68" spans="1:5" ht="25.5" customHeight="1">
      <c r="A68" s="120" t="s">
        <v>271</v>
      </c>
      <c r="B68" s="25">
        <v>129500</v>
      </c>
      <c r="C68" s="25">
        <v>0</v>
      </c>
      <c r="D68" s="26">
        <f>IF(B68=0,"   ",C68/B68*100)</f>
        <v>0</v>
      </c>
      <c r="E68" s="45">
        <f>C68-B68</f>
        <v>-129500</v>
      </c>
    </row>
    <row r="69" spans="1:5" ht="12.75">
      <c r="A69" s="16" t="s">
        <v>58</v>
      </c>
      <c r="B69" s="25">
        <f>B70+B72+B71+B73</f>
        <v>173700</v>
      </c>
      <c r="C69" s="25">
        <f>C70+C72+C71+C73</f>
        <v>106062.89</v>
      </c>
      <c r="D69" s="26">
        <f t="shared" si="0"/>
        <v>61.06096142774899</v>
      </c>
      <c r="E69" s="45">
        <f t="shared" si="1"/>
        <v>-67637.11</v>
      </c>
    </row>
    <row r="70" spans="1:5" ht="12.75">
      <c r="A70" s="16" t="s">
        <v>60</v>
      </c>
      <c r="B70" s="25">
        <v>123800</v>
      </c>
      <c r="C70" s="27">
        <v>86062.89</v>
      </c>
      <c r="D70" s="26">
        <f t="shared" si="0"/>
        <v>69.5176817447496</v>
      </c>
      <c r="E70" s="45">
        <f t="shared" si="1"/>
        <v>-37737.11</v>
      </c>
    </row>
    <row r="71" spans="1:5" ht="25.5">
      <c r="A71" s="120" t="s">
        <v>180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2.75">
      <c r="A72" s="16" t="s">
        <v>59</v>
      </c>
      <c r="B72" s="25">
        <v>49900</v>
      </c>
      <c r="C72" s="27">
        <v>20000</v>
      </c>
      <c r="D72" s="26">
        <f t="shared" si="0"/>
        <v>40.08016032064128</v>
      </c>
      <c r="E72" s="45">
        <f t="shared" si="1"/>
        <v>-29900</v>
      </c>
    </row>
    <row r="73" spans="1:5" ht="12.75">
      <c r="A73" s="174" t="s">
        <v>95</v>
      </c>
      <c r="B73" s="25">
        <v>0</v>
      </c>
      <c r="C73" s="27">
        <v>0</v>
      </c>
      <c r="D73" s="26" t="str">
        <f t="shared" si="0"/>
        <v>   </v>
      </c>
      <c r="E73" s="45">
        <f t="shared" si="1"/>
        <v>0</v>
      </c>
    </row>
    <row r="74" spans="1:5" ht="17.25" customHeight="1">
      <c r="A74" s="18" t="s">
        <v>17</v>
      </c>
      <c r="B74" s="31">
        <v>8000</v>
      </c>
      <c r="C74" s="31">
        <v>0</v>
      </c>
      <c r="D74" s="26">
        <f t="shared" si="0"/>
        <v>0</v>
      </c>
      <c r="E74" s="45">
        <f t="shared" si="1"/>
        <v>-8000</v>
      </c>
    </row>
    <row r="75" spans="1:5" ht="15" customHeight="1">
      <c r="A75" s="16" t="s">
        <v>41</v>
      </c>
      <c r="B75" s="24">
        <f>SUM(B76,)</f>
        <v>93300</v>
      </c>
      <c r="C75" s="24">
        <f>SUM(C76,)</f>
        <v>93300</v>
      </c>
      <c r="D75" s="26">
        <f t="shared" si="0"/>
        <v>100</v>
      </c>
      <c r="E75" s="45">
        <f t="shared" si="1"/>
        <v>0</v>
      </c>
    </row>
    <row r="76" spans="1:5" ht="12.75">
      <c r="A76" s="16" t="s">
        <v>42</v>
      </c>
      <c r="B76" s="25">
        <v>93300</v>
      </c>
      <c r="C76" s="27">
        <v>93300</v>
      </c>
      <c r="D76" s="26">
        <f t="shared" si="0"/>
        <v>100</v>
      </c>
      <c r="E76" s="45">
        <f t="shared" si="1"/>
        <v>0</v>
      </c>
    </row>
    <row r="77" spans="1:5" ht="18" customHeight="1">
      <c r="A77" s="16" t="s">
        <v>125</v>
      </c>
      <c r="B77" s="24">
        <f>SUM(B78,)</f>
        <v>16000</v>
      </c>
      <c r="C77" s="24">
        <f>SUM(C78,)</f>
        <v>16000</v>
      </c>
      <c r="D77" s="26">
        <f t="shared" si="0"/>
        <v>100</v>
      </c>
      <c r="E77" s="45">
        <f t="shared" si="1"/>
        <v>0</v>
      </c>
    </row>
    <row r="78" spans="1:5" ht="12.75">
      <c r="A78" s="16" t="s">
        <v>43</v>
      </c>
      <c r="B78" s="246">
        <v>16000</v>
      </c>
      <c r="C78" s="28">
        <v>16000</v>
      </c>
      <c r="D78" s="26">
        <f t="shared" si="0"/>
        <v>100</v>
      </c>
      <c r="E78" s="45">
        <f t="shared" si="1"/>
        <v>0</v>
      </c>
    </row>
    <row r="79" spans="1:5" ht="21" customHeight="1">
      <c r="A79" s="192" t="s">
        <v>15</v>
      </c>
      <c r="B79" s="167">
        <f>SUM(B45,B51,B53,B55,B63,B74,B75,B77,)</f>
        <v>2405950.6</v>
      </c>
      <c r="C79" s="167">
        <f>SUM(C45,C51,C53,C55,C63,C74,C75,C77,)</f>
        <v>1194994.69</v>
      </c>
      <c r="D79" s="157">
        <f>IF(B79=0,"   ",C79/B79*100)</f>
        <v>49.66829701324706</v>
      </c>
      <c r="E79" s="158">
        <f t="shared" si="1"/>
        <v>-1210955.9100000001</v>
      </c>
    </row>
    <row r="80" spans="1:5" s="69" customFormat="1" ht="23.25" customHeight="1">
      <c r="A80" s="92" t="s">
        <v>291</v>
      </c>
      <c r="B80" s="92"/>
      <c r="C80" s="247"/>
      <c r="D80" s="247"/>
      <c r="E80" s="247"/>
    </row>
    <row r="81" spans="1:5" s="69" customFormat="1" ht="12" customHeight="1">
      <c r="A81" s="92" t="s">
        <v>165</v>
      </c>
      <c r="B81" s="92"/>
      <c r="C81" s="93" t="s">
        <v>315</v>
      </c>
      <c r="D81" s="94"/>
      <c r="E81" s="95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</sheetData>
  <sheetProtection/>
  <mergeCells count="2">
    <mergeCell ref="A1:E1"/>
    <mergeCell ref="C80:E80"/>
  </mergeCells>
  <printOptions/>
  <pageMargins left="1.1811023622047245" right="0.7874015748031497" top="0.5118110236220472" bottom="0.5118110236220472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52">
      <selection activeCell="G19" sqref="G19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49" t="s">
        <v>300</v>
      </c>
      <c r="B1" s="249"/>
      <c r="C1" s="249"/>
      <c r="D1" s="249"/>
      <c r="E1" s="249"/>
    </row>
    <row r="2" spans="1:5" ht="9.75" customHeight="1" thickBot="1">
      <c r="A2" s="4"/>
      <c r="B2" s="4"/>
      <c r="C2" s="49"/>
      <c r="D2" s="4"/>
      <c r="E2" s="4" t="s">
        <v>0</v>
      </c>
    </row>
    <row r="3" spans="1:5" ht="108" customHeight="1">
      <c r="A3" s="34" t="s">
        <v>1</v>
      </c>
      <c r="B3" s="19" t="s">
        <v>243</v>
      </c>
      <c r="C3" s="32" t="s">
        <v>301</v>
      </c>
      <c r="D3" s="19" t="s">
        <v>244</v>
      </c>
      <c r="E3" s="36" t="s">
        <v>245</v>
      </c>
    </row>
    <row r="4" spans="1:5" ht="12.75">
      <c r="A4" s="13">
        <v>1</v>
      </c>
      <c r="B4" s="85">
        <v>2</v>
      </c>
      <c r="C4" s="50">
        <v>3</v>
      </c>
      <c r="D4" s="29">
        <v>4</v>
      </c>
      <c r="E4" s="51">
        <v>5</v>
      </c>
    </row>
    <row r="5" spans="1:5" ht="15.75" customHeight="1">
      <c r="A5" s="22" t="s">
        <v>2</v>
      </c>
      <c r="B5" s="11"/>
      <c r="C5" s="52"/>
      <c r="D5" s="25"/>
      <c r="E5" s="53"/>
    </row>
    <row r="6" spans="1:5" ht="15">
      <c r="A6" s="220" t="s">
        <v>45</v>
      </c>
      <c r="B6" s="213">
        <f>SUM(B7)</f>
        <v>10011600</v>
      </c>
      <c r="C6" s="213">
        <f>SUM(C7)</f>
        <v>7826680.38</v>
      </c>
      <c r="D6" s="221">
        <f aca="true" t="shared" si="0" ref="D6:D33">IF(B6=0,"   ",C6/B6*100)</f>
        <v>78.17611950137841</v>
      </c>
      <c r="E6" s="222">
        <f aca="true" t="shared" si="1" ref="E6:E55">C6-B6</f>
        <v>-2184919.62</v>
      </c>
    </row>
    <row r="7" spans="1:5" ht="15">
      <c r="A7" s="223" t="s">
        <v>44</v>
      </c>
      <c r="B7" s="224">
        <f>Лист1!B9+Лист2!B7+Лист3!B7+Лист4!B8+Лист5!B8+Лист6!B8+Лист7!B8+Лист8!B8+Лист9!B8+Лист10!B8</f>
        <v>10011600</v>
      </c>
      <c r="C7" s="224">
        <f>Лист1!C9+Лист2!C7+Лист3!C7+Лист4!C8+Лист5!C8+Лист6!C8+Лист7!C8+Лист8!C8+Лист9!C8+Лист10!C8</f>
        <v>7826680.38</v>
      </c>
      <c r="D7" s="221">
        <f t="shared" si="0"/>
        <v>78.17611950137841</v>
      </c>
      <c r="E7" s="222">
        <f t="shared" si="1"/>
        <v>-2184919.62</v>
      </c>
    </row>
    <row r="8" spans="1:5" ht="31.5" customHeight="1">
      <c r="A8" s="220" t="s">
        <v>144</v>
      </c>
      <c r="B8" s="213">
        <f>SUM(B9)</f>
        <v>5510000</v>
      </c>
      <c r="C8" s="213">
        <f>SUM(C9)</f>
        <v>4815504.64</v>
      </c>
      <c r="D8" s="221">
        <f t="shared" si="0"/>
        <v>87.39572849364791</v>
      </c>
      <c r="E8" s="222">
        <f t="shared" si="1"/>
        <v>-694495.3600000003</v>
      </c>
    </row>
    <row r="9" spans="1:5" ht="30">
      <c r="A9" s="223" t="s">
        <v>145</v>
      </c>
      <c r="B9" s="224">
        <f>Лист1!B15+Лист2!B9+Лист3!B9+Лист4!B10+Лист5!B10+Лист6!B10+Лист7!B10+Лист8!B10+Лист9!B10+Лист10!B10</f>
        <v>5510000</v>
      </c>
      <c r="C9" s="224">
        <f>Лист1!C15+Лист2!C9+Лист3!C9+Лист4!C10+Лист5!C10+Лист6!C10+Лист7!C10+Лист8!C10+Лист9!C10+Лист10!C10</f>
        <v>4815504.64</v>
      </c>
      <c r="D9" s="221">
        <f t="shared" si="0"/>
        <v>87.39572849364791</v>
      </c>
      <c r="E9" s="222">
        <f t="shared" si="1"/>
        <v>-694495.3600000003</v>
      </c>
    </row>
    <row r="10" spans="1:5" ht="15">
      <c r="A10" s="223" t="s">
        <v>7</v>
      </c>
      <c r="B10" s="224">
        <f>B11</f>
        <v>1600800</v>
      </c>
      <c r="C10" s="224">
        <f>SUM(C11:C11)</f>
        <v>2108401.8000000003</v>
      </c>
      <c r="D10" s="221">
        <f t="shared" si="0"/>
        <v>131.7092578710645</v>
      </c>
      <c r="E10" s="222">
        <f t="shared" si="1"/>
        <v>507601.8000000003</v>
      </c>
    </row>
    <row r="11" spans="1:5" ht="15">
      <c r="A11" s="223" t="s">
        <v>26</v>
      </c>
      <c r="B11" s="224">
        <f>Лист1!B18+Лист2!B11+Лист3!B11+Лист4!B12+Лист5!B12+Лист6!B12+Лист7!B12+Лист8!B12+Лист9!B12+Лист10!B12</f>
        <v>1600800</v>
      </c>
      <c r="C11" s="224">
        <f>Лист1!C18+Лист2!C11+Лист3!C11+Лист4!C12+Лист5!C12+Лист6!C12+Лист7!C12+Лист8!C12+Лист9!C12+Лист10!C12</f>
        <v>2108401.8000000003</v>
      </c>
      <c r="D11" s="221">
        <f t="shared" si="0"/>
        <v>131.7092578710645</v>
      </c>
      <c r="E11" s="222">
        <f t="shared" si="1"/>
        <v>507601.8000000003</v>
      </c>
    </row>
    <row r="12" spans="1:5" ht="15">
      <c r="A12" s="223" t="s">
        <v>9</v>
      </c>
      <c r="B12" s="224">
        <f>SUM(B13:B14)</f>
        <v>8666300</v>
      </c>
      <c r="C12" s="224">
        <f>SUM(C13:C14)</f>
        <v>4661252.649999999</v>
      </c>
      <c r="D12" s="221">
        <f t="shared" si="0"/>
        <v>53.78595998292235</v>
      </c>
      <c r="E12" s="222">
        <f t="shared" si="1"/>
        <v>-4005047.3500000006</v>
      </c>
    </row>
    <row r="13" spans="1:5" ht="15">
      <c r="A13" s="223" t="s">
        <v>27</v>
      </c>
      <c r="B13" s="224">
        <f>Лист1!B20+Лист2!B13+Лист3!B13+Лист4!B14+Лист5!B14+Лист6!B14+Лист7!B14+Лист8!B14+Лист9!B14+Лист10!B14</f>
        <v>2115000</v>
      </c>
      <c r="C13" s="224">
        <f>Лист1!C20+Лист2!C13+Лист3!C13+Лист4!C14+Лист5!C14+Лист6!C14+Лист7!C14+Лист8!C14+Лист9!C14+Лист10!C14</f>
        <v>1209255.9799999997</v>
      </c>
      <c r="D13" s="221">
        <f t="shared" si="0"/>
        <v>57.17522364066193</v>
      </c>
      <c r="E13" s="222">
        <f t="shared" si="1"/>
        <v>-905744.0200000003</v>
      </c>
    </row>
    <row r="14" spans="1:5" ht="15">
      <c r="A14" s="223" t="s">
        <v>173</v>
      </c>
      <c r="B14" s="224">
        <f>Лист1!B21+Лист2!B14+Лист3!B14+Лист4!B15+Лист5!B15+Лист6!B15+Лист7!B15+Лист8!B15+Лист9!B15+Лист10!B15</f>
        <v>6551300</v>
      </c>
      <c r="C14" s="224">
        <f>Лист1!C21+Лист2!C14+Лист3!C14+Лист4!C15+Лист5!C15+Лист6!C15+Лист7!C15+Лист8!C15+Лист9!C15+Лист10!C15</f>
        <v>3451996.67</v>
      </c>
      <c r="D14" s="221">
        <f t="shared" si="0"/>
        <v>52.69178132584372</v>
      </c>
      <c r="E14" s="222">
        <f t="shared" si="1"/>
        <v>-3099303.33</v>
      </c>
    </row>
    <row r="15" spans="1:5" ht="15">
      <c r="A15" s="223" t="s">
        <v>174</v>
      </c>
      <c r="B15" s="224">
        <f>Лист1!B22+Лист2!B15+Лист3!B15+Лист4!B16+Лист5!B16+Лист6!B16+Лист7!B16+Лист8!B16+Лист9!B16+Лист10!B16</f>
        <v>1830200</v>
      </c>
      <c r="C15" s="224">
        <f>Лист1!C22+Лист2!C15+Лист3!C15+Лист4!C16+Лист5!C16+Лист6!C16+Лист7!C16+Лист8!C16+Лист9!C16+Лист10!C16</f>
        <v>1521520.7</v>
      </c>
      <c r="D15" s="221">
        <f t="shared" si="0"/>
        <v>83.13412195388482</v>
      </c>
      <c r="E15" s="222">
        <f t="shared" si="1"/>
        <v>-308679.30000000005</v>
      </c>
    </row>
    <row r="16" spans="1:5" ht="15">
      <c r="A16" s="223" t="s">
        <v>175</v>
      </c>
      <c r="B16" s="224">
        <f>Лист1!B23+Лист2!B16+Лист3!B16+Лист4!B17+Лист5!B17+Лист6!B17+Лист7!B17+Лист8!B17+Лист9!B17+Лист10!B17</f>
        <v>4721100</v>
      </c>
      <c r="C16" s="224">
        <f>Лист1!C23+Лист2!C16+Лист3!C16+Лист4!C17+Лист5!C17+Лист6!C17+Лист7!C17+Лист8!C17+Лист9!C17+Лист10!C17</f>
        <v>1930475.9699999997</v>
      </c>
      <c r="D16" s="221">
        <f t="shared" si="0"/>
        <v>40.890385079748356</v>
      </c>
      <c r="E16" s="222">
        <f t="shared" si="1"/>
        <v>-2790624.0300000003</v>
      </c>
    </row>
    <row r="17" spans="1:5" ht="15">
      <c r="A17" s="223" t="s">
        <v>252</v>
      </c>
      <c r="B17" s="209">
        <f>Лист8!B18+Лист5!B18+Лист9!B18+Лист3!B17+Лист4!B18+Лист2!B17+Лист10!B18+Лист1!B24</f>
        <v>19600</v>
      </c>
      <c r="C17" s="209">
        <f>Лист8!C18+Лист5!C18+Лист9!C18+Лист3!C17+Лист4!C18+Лист2!C17+Лист10!C18+Лист1!C24</f>
        <v>37580</v>
      </c>
      <c r="D17" s="221">
        <f>IF(B17=0,"   ",C17/B17*100)</f>
        <v>191.73469387755102</v>
      </c>
      <c r="E17" s="222">
        <f>C17-B17</f>
        <v>17980</v>
      </c>
    </row>
    <row r="18" spans="1:5" ht="28.5" customHeight="1">
      <c r="A18" s="223" t="s">
        <v>94</v>
      </c>
      <c r="B18" s="209">
        <f>Лист1!B25+Лист2!B18+Лист3!B18+Лист4!B19+Лист5!B19+Лист6!B18+Лист7!B18+Лист8!B19+Лист9!B19+Лист10!B19</f>
        <v>0</v>
      </c>
      <c r="C18" s="209">
        <f>Лист1!C25+Лист2!C18+Лист3!C18+Лист4!C19+Лист5!C19+Лист6!C18+Лист7!C18+Лист8!C19+Лист9!C19+Лист10!C19</f>
        <v>51314.33</v>
      </c>
      <c r="D18" s="221" t="str">
        <f t="shared" si="0"/>
        <v>   </v>
      </c>
      <c r="E18" s="222">
        <f t="shared" si="1"/>
        <v>51314.33</v>
      </c>
    </row>
    <row r="19" spans="1:5" ht="46.5" customHeight="1">
      <c r="A19" s="223" t="s">
        <v>28</v>
      </c>
      <c r="B19" s="224">
        <f>SUM(B20:B24)</f>
        <v>5481600</v>
      </c>
      <c r="C19" s="224">
        <f>SUM(C20:C24)</f>
        <v>2177876.46</v>
      </c>
      <c r="D19" s="221">
        <f t="shared" si="0"/>
        <v>39.73067097197898</v>
      </c>
      <c r="E19" s="222">
        <f t="shared" si="1"/>
        <v>-3303723.54</v>
      </c>
    </row>
    <row r="20" spans="1:5" ht="15">
      <c r="A20" s="223" t="s">
        <v>164</v>
      </c>
      <c r="B20" s="224">
        <f>Лист7!B20</f>
        <v>872000</v>
      </c>
      <c r="C20" s="224">
        <f>Лист7!C20</f>
        <v>942990.86</v>
      </c>
      <c r="D20" s="221">
        <f t="shared" si="0"/>
        <v>108.14115366972476</v>
      </c>
      <c r="E20" s="222">
        <f t="shared" si="1"/>
        <v>70990.85999999999</v>
      </c>
    </row>
    <row r="21" spans="1:5" ht="15">
      <c r="A21" s="223" t="s">
        <v>146</v>
      </c>
      <c r="B21" s="224">
        <f>Лист1!B27+Лист2!B23+Лист3!B20+Лист4!B21+Лист5!B21+Лист6!B20+Лист7!B21+Лист8!B21+Лист9!B22+Лист10!B22</f>
        <v>2451300</v>
      </c>
      <c r="C21" s="224">
        <f>Лист1!C27+Лист2!C23+Лист3!C20+Лист4!C21+Лист5!C21+Лист6!C20+Лист7!C21+Лист8!C21+Лист9!C22+Лист10!C22</f>
        <v>527642.9</v>
      </c>
      <c r="D21" s="221">
        <f t="shared" si="0"/>
        <v>21.525023456941216</v>
      </c>
      <c r="E21" s="222">
        <f t="shared" si="1"/>
        <v>-1923657.1</v>
      </c>
    </row>
    <row r="22" spans="1:5" ht="33" customHeight="1">
      <c r="A22" s="223" t="s">
        <v>30</v>
      </c>
      <c r="B22" s="224">
        <f>Лист1!B28+Лист2!B24+Лист3!B21+Лист4!B22+Лист5!B22+Лист6!B21+Лист7!B22+Лист8!B22+Лист9!B23+Лист10!B21</f>
        <v>1151700</v>
      </c>
      <c r="C22" s="224">
        <f>Лист1!C28+Лист2!C24+Лист3!C21+Лист4!C22+Лист5!C22+Лист6!C21+Лист7!C22+Лист8!C22+Лист9!C23+Лист10!C21</f>
        <v>113456.44</v>
      </c>
      <c r="D22" s="221">
        <f t="shared" si="0"/>
        <v>9.851214726057133</v>
      </c>
      <c r="E22" s="222">
        <f t="shared" si="1"/>
        <v>-1038243.56</v>
      </c>
    </row>
    <row r="23" spans="1:5" ht="80.25" customHeight="1">
      <c r="A23" s="223" t="s">
        <v>258</v>
      </c>
      <c r="B23" s="224">
        <f>Лист7!B23</f>
        <v>990000</v>
      </c>
      <c r="C23" s="224">
        <f>Лист7!C23</f>
        <v>571854.62</v>
      </c>
      <c r="D23" s="221">
        <f>IF(B23=0,"   ",C23/B23*100)</f>
        <v>57.763092929292924</v>
      </c>
      <c r="E23" s="222">
        <f>C23-B23</f>
        <v>-418145.38</v>
      </c>
    </row>
    <row r="24" spans="1:5" ht="72" customHeight="1">
      <c r="A24" s="16" t="s">
        <v>294</v>
      </c>
      <c r="B24" s="224">
        <f>Лист1!B29+Лист9!B24</f>
        <v>16600</v>
      </c>
      <c r="C24" s="224">
        <f>Лист1!C29+Лист9!C24</f>
        <v>21931.64</v>
      </c>
      <c r="D24" s="221">
        <f>IF(B24=0,"   ",C24/B24*100)</f>
        <v>132.11831325301205</v>
      </c>
      <c r="E24" s="222">
        <f>C24-B24</f>
        <v>5331.639999999999</v>
      </c>
    </row>
    <row r="25" spans="1:5" ht="30.75" customHeight="1">
      <c r="A25" s="223" t="s">
        <v>83</v>
      </c>
      <c r="B25" s="224">
        <f>SUM(B27,B26)</f>
        <v>22900</v>
      </c>
      <c r="C25" s="224">
        <f>SUM(C27,C26)</f>
        <v>92279.5</v>
      </c>
      <c r="D25" s="221">
        <f t="shared" si="0"/>
        <v>402.96724890829694</v>
      </c>
      <c r="E25" s="222">
        <f t="shared" si="1"/>
        <v>69379.5</v>
      </c>
    </row>
    <row r="26" spans="1:5" ht="16.5" customHeight="1">
      <c r="A26" s="223" t="s">
        <v>202</v>
      </c>
      <c r="B26" s="224">
        <f>Лист2!B26</f>
        <v>0</v>
      </c>
      <c r="C26" s="224">
        <f>Лист2!C26</f>
        <v>0</v>
      </c>
      <c r="D26" s="221"/>
      <c r="E26" s="222">
        <f t="shared" si="1"/>
        <v>0</v>
      </c>
    </row>
    <row r="27" spans="1:5" ht="44.25" customHeight="1">
      <c r="A27" s="223" t="s">
        <v>84</v>
      </c>
      <c r="B27" s="224">
        <f>Лист4!B23+Лист9!B25</f>
        <v>22900</v>
      </c>
      <c r="C27" s="224">
        <f>Лист4!C23+Лист9!C25+Лист7!C24</f>
        <v>92279.5</v>
      </c>
      <c r="D27" s="221">
        <f t="shared" si="0"/>
        <v>402.96724890829694</v>
      </c>
      <c r="E27" s="222">
        <f t="shared" si="1"/>
        <v>69379.5</v>
      </c>
    </row>
    <row r="28" spans="1:5" ht="31.5" customHeight="1">
      <c r="A28" s="223" t="s">
        <v>76</v>
      </c>
      <c r="B28" s="224">
        <f>SUM(B30+B29+B31)</f>
        <v>1053025.92</v>
      </c>
      <c r="C28" s="224">
        <f>SUM(C30+C29+C31)</f>
        <v>1216279.6400000001</v>
      </c>
      <c r="D28" s="221">
        <f t="shared" si="0"/>
        <v>115.50329549342908</v>
      </c>
      <c r="E28" s="222">
        <f t="shared" si="1"/>
        <v>163253.7200000002</v>
      </c>
    </row>
    <row r="29" spans="1:5" ht="30.75" customHeight="1">
      <c r="A29" s="223" t="s">
        <v>139</v>
      </c>
      <c r="B29" s="224">
        <f>Лист1!B32+Лист5!B25+Лист9!B27+Лист7!B26+Лист2!B20+Лист3!B25</f>
        <v>731125.9199999999</v>
      </c>
      <c r="C29" s="224">
        <f>Лист1!C32+Лист5!C25+Лист9!C27+Лист7!C26+Лист2!C20+Лист3!C25</f>
        <v>658301.05</v>
      </c>
      <c r="D29" s="221">
        <f t="shared" si="0"/>
        <v>90.03935327583518</v>
      </c>
      <c r="E29" s="222">
        <f t="shared" si="1"/>
        <v>-72824.86999999988</v>
      </c>
    </row>
    <row r="30" spans="1:5" ht="42" customHeight="1">
      <c r="A30" s="16" t="s">
        <v>296</v>
      </c>
      <c r="B30" s="224">
        <f>Лист7!B27</f>
        <v>262800</v>
      </c>
      <c r="C30" s="224">
        <f>Лист7!C27</f>
        <v>284709.69</v>
      </c>
      <c r="D30" s="221">
        <f t="shared" si="0"/>
        <v>108.3370205479452</v>
      </c>
      <c r="E30" s="222">
        <f t="shared" si="1"/>
        <v>21909.690000000002</v>
      </c>
    </row>
    <row r="31" spans="1:5" ht="46.5" customHeight="1">
      <c r="A31" s="16" t="s">
        <v>297</v>
      </c>
      <c r="B31" s="224">
        <f>Лист1!B33+Лист2!B21+Лист3!B24+Лист4!B25+Лист6!B24+Лист8!B25+Лист9!B28+Лист10!B25</f>
        <v>59100</v>
      </c>
      <c r="C31" s="224">
        <f>Лист1!C33+Лист2!C21+Лист3!C24+Лист4!C25+Лист6!C24+Лист8!C25+Лист9!C28+Лист10!C25</f>
        <v>273268.9</v>
      </c>
      <c r="D31" s="221">
        <f t="shared" si="0"/>
        <v>462.38392554991543</v>
      </c>
      <c r="E31" s="222">
        <f t="shared" si="1"/>
        <v>214168.90000000002</v>
      </c>
    </row>
    <row r="32" spans="1:5" ht="15">
      <c r="A32" s="223" t="s">
        <v>31</v>
      </c>
      <c r="B32" s="224">
        <f>Лист1!B34+Лист2!B27+Лист5!B28+Лист7!B28</f>
        <v>5100</v>
      </c>
      <c r="C32" s="224">
        <f>Лист1!C34+Лист2!C27+Лист5!C28+Лист7!C28</f>
        <v>6100</v>
      </c>
      <c r="D32" s="221">
        <f t="shared" si="0"/>
        <v>119.6078431372549</v>
      </c>
      <c r="E32" s="222">
        <f t="shared" si="1"/>
        <v>1000</v>
      </c>
    </row>
    <row r="33" spans="1:5" ht="15">
      <c r="A33" s="223" t="s">
        <v>32</v>
      </c>
      <c r="B33" s="224">
        <f>B34+B35</f>
        <v>0</v>
      </c>
      <c r="C33" s="224">
        <f>C34+C35</f>
        <v>-97035.92</v>
      </c>
      <c r="D33" s="221" t="str">
        <f t="shared" si="0"/>
        <v>   </v>
      </c>
      <c r="E33" s="222">
        <f t="shared" si="1"/>
        <v>-97035.92</v>
      </c>
    </row>
    <row r="34" spans="1:5" ht="15">
      <c r="A34" s="223" t="s">
        <v>46</v>
      </c>
      <c r="B34" s="224">
        <v>0</v>
      </c>
      <c r="C34" s="224">
        <f>Лист1!C38+Лист2!C29+Лист4!C27+Лист6!C26+Лист7!C30+Лист8!C27+Лист9!C31+Лист3!C27+Лист10!C27</f>
        <v>-97035.92</v>
      </c>
      <c r="D34" s="221"/>
      <c r="E34" s="222">
        <f t="shared" si="1"/>
        <v>-97035.92</v>
      </c>
    </row>
    <row r="35" spans="1:5" ht="15">
      <c r="A35" s="223" t="s">
        <v>50</v>
      </c>
      <c r="B35" s="224">
        <f>Лист1!B39+Лист2!B30+Лист3!B28+Лист4!B28+Лист5!B27+Лист6!B27+Лист7!B31+Лист8!B28+Лист9!B32+Лист10!B28</f>
        <v>0</v>
      </c>
      <c r="C35" s="224">
        <f>Лист1!C39+Лист2!C30+Лист3!C28+Лист4!C28+Лист5!C27+Лист6!C27+Лист7!C31+Лист8!C28+Лист9!C32+Лист10!C28</f>
        <v>0</v>
      </c>
      <c r="D35" s="221" t="str">
        <f>IF(B35=0,"   ",C35/B35*100)</f>
        <v>   </v>
      </c>
      <c r="E35" s="222">
        <f t="shared" si="1"/>
        <v>0</v>
      </c>
    </row>
    <row r="36" spans="1:5" ht="18" customHeight="1">
      <c r="A36" s="225" t="s">
        <v>10</v>
      </c>
      <c r="B36" s="226">
        <f>SUM(B6,B8,B10,B12,B18,B19,B25,B28,B33,+B32+B17)</f>
        <v>32370925.92</v>
      </c>
      <c r="C36" s="226">
        <f>SUM(C6,C8,C10,C12,C18,C19,C25,C28,C33,+C32+C17)</f>
        <v>22896233.479999997</v>
      </c>
      <c r="D36" s="227">
        <f>IF(B36=0,"   ",C36/B36*100)</f>
        <v>70.73085748793433</v>
      </c>
      <c r="E36" s="228">
        <f t="shared" si="1"/>
        <v>-9474692.440000005</v>
      </c>
    </row>
    <row r="37" spans="1:5" ht="33" customHeight="1">
      <c r="A37" s="220" t="s">
        <v>34</v>
      </c>
      <c r="B37" s="213">
        <f>Лист1!B44+Лист2!B33+Лист3!B32+Лист4!B32+Лист5!B31+Лист6!B30+Лист7!B34+Лист8!B32+Лист9!B35+Лист10!B31</f>
        <v>16333700</v>
      </c>
      <c r="C37" s="213">
        <f>Лист1!C44+Лист2!C33+Лист3!C32+Лист4!C32+Лист5!C31+Лист6!C30+Лист7!C34+Лист8!C32+Лист9!C35+Лист10!C31</f>
        <v>13589400</v>
      </c>
      <c r="D37" s="221">
        <f>IF(B37=0,"   ",C37/B37*100)</f>
        <v>83.19854044092888</v>
      </c>
      <c r="E37" s="222">
        <f t="shared" si="1"/>
        <v>-2744300</v>
      </c>
    </row>
    <row r="38" spans="1:5" ht="15">
      <c r="A38" s="229" t="s">
        <v>116</v>
      </c>
      <c r="B38" s="213">
        <f>B43+B42+B40+B41</f>
        <v>8139989.4</v>
      </c>
      <c r="C38" s="213">
        <f>C43+C42+C40+C41</f>
        <v>5621627.8</v>
      </c>
      <c r="D38" s="221">
        <f>IF(B38=0,"   ",C38/B38*100)</f>
        <v>69.06185651789669</v>
      </c>
      <c r="E38" s="222">
        <f t="shared" si="1"/>
        <v>-2518361.6000000006</v>
      </c>
    </row>
    <row r="39" spans="1:5" ht="15">
      <c r="A39" s="220" t="s">
        <v>117</v>
      </c>
      <c r="B39" s="213"/>
      <c r="C39" s="213"/>
      <c r="D39" s="221"/>
      <c r="E39" s="222"/>
    </row>
    <row r="40" spans="1:5" ht="33" customHeight="1">
      <c r="A40" s="223" t="s">
        <v>204</v>
      </c>
      <c r="B40" s="224">
        <f>Лист2!B34</f>
        <v>0</v>
      </c>
      <c r="C40" s="224">
        <f>Лист2!C34</f>
        <v>0</v>
      </c>
      <c r="D40" s="221" t="str">
        <f>IF(B40=0,"   ",C40/B40*100)</f>
        <v>   </v>
      </c>
      <c r="E40" s="222">
        <f>C40-B40</f>
        <v>0</v>
      </c>
    </row>
    <row r="41" spans="1:5" ht="45" customHeight="1">
      <c r="A41" s="223" t="s">
        <v>209</v>
      </c>
      <c r="B41" s="208">
        <v>0</v>
      </c>
      <c r="C41" s="208">
        <v>0</v>
      </c>
      <c r="D41" s="210" t="str">
        <f>IF(B41=0,"   ",C41/B41)</f>
        <v>   </v>
      </c>
      <c r="E41" s="211">
        <f>C41-B41</f>
        <v>0</v>
      </c>
    </row>
    <row r="42" spans="1:5" ht="55.5" customHeight="1">
      <c r="A42" s="223" t="s">
        <v>142</v>
      </c>
      <c r="B42" s="224">
        <f>Лист7!B41</f>
        <v>1615800</v>
      </c>
      <c r="C42" s="224">
        <f>Лист7!C41</f>
        <v>1609536</v>
      </c>
      <c r="D42" s="221">
        <f>IF(B42=0,"   ",C42/B42*100)</f>
        <v>99.61232825844782</v>
      </c>
      <c r="E42" s="222">
        <f>C42-B42</f>
        <v>-6264</v>
      </c>
    </row>
    <row r="43" spans="1:5" ht="15">
      <c r="A43" s="223" t="s">
        <v>107</v>
      </c>
      <c r="B43" s="224">
        <f>B48+B46+B45+B47</f>
        <v>6524189.4</v>
      </c>
      <c r="C43" s="224">
        <f>C48+C46+C45+C47</f>
        <v>4012091.8</v>
      </c>
      <c r="D43" s="221">
        <f>IF(B43=0,"   ",C43/B43*100)</f>
        <v>61.495636530723644</v>
      </c>
      <c r="E43" s="222">
        <f>C43-B43</f>
        <v>-2512097.6000000006</v>
      </c>
    </row>
    <row r="44" spans="1:5" ht="15">
      <c r="A44" s="223" t="s">
        <v>118</v>
      </c>
      <c r="B44" s="224"/>
      <c r="C44" s="224"/>
      <c r="D44" s="221"/>
      <c r="E44" s="222"/>
    </row>
    <row r="45" spans="1:5" ht="45">
      <c r="A45" s="223" t="s">
        <v>288</v>
      </c>
      <c r="B45" s="224">
        <f>Лист1!B52+Лист9!B41</f>
        <v>270000</v>
      </c>
      <c r="C45" s="224">
        <f>Лист1!C52+Лист9!C41</f>
        <v>270000</v>
      </c>
      <c r="D45" s="221">
        <f>IF(B45=0,"   ",C45/B45*100)</f>
        <v>100</v>
      </c>
      <c r="E45" s="222">
        <f>C45-B45</f>
        <v>0</v>
      </c>
    </row>
    <row r="46" spans="1:5" ht="51.75" customHeight="1">
      <c r="A46" s="223" t="s">
        <v>287</v>
      </c>
      <c r="B46" s="224">
        <f>Лист2!B42+Лист4!B39+Лист5!B38+Лист6!B37+Лист8!B40+Лист10!B37</f>
        <v>2121689.4</v>
      </c>
      <c r="C46" s="224">
        <f>Лист2!C42+Лист4!C39+Лист5!C38+Лист6!C37+Лист8!C40+Лист10!C37</f>
        <v>1735138.8</v>
      </c>
      <c r="D46" s="221">
        <f>IF(B46=0,"   ",C46/B46*100)</f>
        <v>81.78099961285568</v>
      </c>
      <c r="E46" s="222">
        <f>C46-B46</f>
        <v>-386550.59999999986</v>
      </c>
    </row>
    <row r="47" spans="1:5" ht="14.25" customHeight="1">
      <c r="A47" s="223" t="s">
        <v>226</v>
      </c>
      <c r="B47" s="224">
        <f>Лист7!B43</f>
        <v>42800</v>
      </c>
      <c r="C47" s="224">
        <f>Лист7!C43</f>
        <v>42800</v>
      </c>
      <c r="D47" s="221">
        <f>IF(B47=0,"   ",C47/B47*100)</f>
        <v>100</v>
      </c>
      <c r="E47" s="222">
        <f>C47-B47</f>
        <v>0</v>
      </c>
    </row>
    <row r="48" spans="1:5" s="69" customFormat="1" ht="40.5" customHeight="1">
      <c r="A48" s="223" t="s">
        <v>119</v>
      </c>
      <c r="B48" s="224">
        <f>Лист1!B53+Лист2!B43+Лист3!B40+Лист4!B40+Лист5!B37+Лист6!B36+Лист7!B44+Лист8!B41+Лист9!B42+Лист10!B38</f>
        <v>4089700</v>
      </c>
      <c r="C48" s="224">
        <f>Лист1!C53+Лист2!C43+Лист3!C40+Лист4!C40+Лист5!C37+Лист6!C36+Лист7!C44+Лист8!C41+Лист9!C42+Лист10!C38</f>
        <v>1964153</v>
      </c>
      <c r="D48" s="221">
        <f>IF(B48=0,"   ",C48/B48*100)</f>
        <v>48.02682348338509</v>
      </c>
      <c r="E48" s="222">
        <f>C48-B48</f>
        <v>-2125547</v>
      </c>
    </row>
    <row r="49" spans="1:5" s="69" customFormat="1" ht="15">
      <c r="A49" s="229" t="s">
        <v>19</v>
      </c>
      <c r="B49" s="224">
        <f>B51+B52</f>
        <v>1119200</v>
      </c>
      <c r="C49" s="224">
        <f>C51+C52</f>
        <v>1088894.9</v>
      </c>
      <c r="D49" s="221">
        <f>IF(B49=0,"   ",C49/B49*100)</f>
        <v>97.29225339528233</v>
      </c>
      <c r="E49" s="222">
        <f>C49-B49</f>
        <v>-30305.100000000093</v>
      </c>
    </row>
    <row r="50" spans="1:5" ht="15">
      <c r="A50" s="220" t="s">
        <v>117</v>
      </c>
      <c r="B50" s="213"/>
      <c r="C50" s="213"/>
      <c r="D50" s="221"/>
      <c r="E50" s="222"/>
    </row>
    <row r="51" spans="1:5" ht="58.5" customHeight="1">
      <c r="A51" s="230" t="s">
        <v>51</v>
      </c>
      <c r="B51" s="231">
        <f>Лист1!B45+Лист2!B35+Лист3!B33+Лист4!B33+Лист5!B32+Лист6!B31+Лист7!B35+Лист8!B33+Лист9!B36+Лист10!B32</f>
        <v>1069000</v>
      </c>
      <c r="C51" s="231">
        <f>Лист1!C45+Лист2!C35+Лист3!C33+Лист4!C33+Лист5!C32+Лист6!C31+Лист7!C35+Лист8!C33+Лист9!C36+Лист10!C32</f>
        <v>1069000</v>
      </c>
      <c r="D51" s="232">
        <f>IF(B51=0,"   ",C51/B51*100)</f>
        <v>100</v>
      </c>
      <c r="E51" s="233">
        <f>C51-B51</f>
        <v>0</v>
      </c>
    </row>
    <row r="52" spans="1:5" ht="45" customHeight="1">
      <c r="A52" s="230" t="s">
        <v>157</v>
      </c>
      <c r="B52" s="231">
        <f>Лист1!B46+Лист2!B36+Лист3!B34+Лист4!B34+Лист5!B33+Лист6!B32+Лист7!B36+Лист8!B34+Лист9!B37+Лист10!B33</f>
        <v>50200</v>
      </c>
      <c r="C52" s="231">
        <f>Лист1!C46+Лист2!C36+Лист3!C34+Лист4!C34+Лист5!C33+Лист6!C32+Лист7!C36+Лист8!C34+Лист9!C37+Лист10!C33</f>
        <v>19894.899999999998</v>
      </c>
      <c r="D52" s="232">
        <f>IF(B52=0,"   ",C52/B52*100)</f>
        <v>39.6312749003984</v>
      </c>
      <c r="E52" s="233">
        <f>C52-B52</f>
        <v>-30305.100000000002</v>
      </c>
    </row>
    <row r="53" spans="1:5" ht="27.75" customHeight="1">
      <c r="A53" s="230" t="s">
        <v>176</v>
      </c>
      <c r="B53" s="231">
        <f>Лист1!B47+Лист2!B37+Лист3!B35+Лист4!B35+Лист5!B34+Лист6!B33+Лист7!B37+Лист8!B35+Лист9!B38+Лист10!B34</f>
        <v>2000</v>
      </c>
      <c r="C53" s="231">
        <f>Лист1!C47+Лист2!C37+Лист3!C35+Лист4!C35+Лист5!C34+Лист6!C33+Лист7!C37+Лист8!C35+Лист9!C38+Лист10!C34</f>
        <v>1600</v>
      </c>
      <c r="D53" s="232">
        <f>IF(B53=0,"   ",C53/B53*100)</f>
        <v>80</v>
      </c>
      <c r="E53" s="233">
        <f>C53-B53</f>
        <v>-400</v>
      </c>
    </row>
    <row r="54" spans="1:5" ht="39.75" customHeight="1">
      <c r="A54" s="230" t="s">
        <v>177</v>
      </c>
      <c r="B54" s="231">
        <f>Лист1!B48+Лист2!B38+Лист3!B36+Лист4!B36+Лист5!B35+Лист6!B34+Лист7!B38+Лист8!B36+Лист9!B39+Лист10!B35</f>
        <v>48200</v>
      </c>
      <c r="C54" s="231">
        <f>Лист1!C48+Лист2!C38+Лист3!C36+Лист4!C36+Лист5!C35+Лист6!C34+Лист7!C38+Лист8!C36+Лист9!C39+Лист10!C35</f>
        <v>18294.9</v>
      </c>
      <c r="D54" s="232">
        <f>IF(B54=0,"   ",C54/B54*100)</f>
        <v>37.95622406639004</v>
      </c>
      <c r="E54" s="233">
        <f>C54-B54</f>
        <v>-29905.1</v>
      </c>
    </row>
    <row r="55" spans="1:5" ht="15">
      <c r="A55" s="229" t="s">
        <v>120</v>
      </c>
      <c r="B55" s="224">
        <f>B57+B59+B58</f>
        <v>8765359.43</v>
      </c>
      <c r="C55" s="224">
        <f>C57+C59+C58</f>
        <v>8675359.43</v>
      </c>
      <c r="D55" s="221">
        <f>IF(B55=0,"   ",C55/B55*100)</f>
        <v>98.97323092431361</v>
      </c>
      <c r="E55" s="222">
        <f t="shared" si="1"/>
        <v>-90000</v>
      </c>
    </row>
    <row r="56" spans="1:5" ht="15">
      <c r="A56" s="220" t="s">
        <v>117</v>
      </c>
      <c r="B56" s="213"/>
      <c r="C56" s="213"/>
      <c r="D56" s="221"/>
      <c r="E56" s="222"/>
    </row>
    <row r="57" spans="1:5" ht="75" customHeight="1">
      <c r="A57" s="223" t="s">
        <v>90</v>
      </c>
      <c r="B57" s="231">
        <f>Лист1!B49+Лист2!B39+Лист3!B37+Лист4!B37+Лист5!B39+Лист6!B39+Лист7!B39+Лист8!B37+Лист9!B43+Лист10!B40</f>
        <v>2357891.25</v>
      </c>
      <c r="C57" s="231">
        <f>Лист1!C49+Лист2!C39+Лист3!C37+Лист4!C37+Лист5!C39+Лист6!C39+Лист7!C39+Лист8!C37+Лист9!C43+Лист10!C40</f>
        <v>2267891.25</v>
      </c>
      <c r="D57" s="221">
        <f aca="true" t="shared" si="2" ref="D57:D85">IF(B57=0,"   ",C57/B57*100)</f>
        <v>96.18303006977102</v>
      </c>
      <c r="E57" s="222">
        <f>C57-B57</f>
        <v>-90000</v>
      </c>
    </row>
    <row r="58" spans="1:5" ht="64.5" customHeight="1">
      <c r="A58" s="16" t="s">
        <v>286</v>
      </c>
      <c r="B58" s="208">
        <f>Лист7!B40</f>
        <v>6407468.18</v>
      </c>
      <c r="C58" s="208">
        <f>Лист7!C40</f>
        <v>6407468.18</v>
      </c>
      <c r="D58" s="221">
        <f>IF(B58=0,"   ",C58/B58*100)</f>
        <v>100</v>
      </c>
      <c r="E58" s="222">
        <f>C58-B58</f>
        <v>0</v>
      </c>
    </row>
    <row r="59" spans="1:5" ht="27.75" customHeight="1">
      <c r="A59" s="223" t="s">
        <v>184</v>
      </c>
      <c r="B59" s="231">
        <f>Лист1!B50+Лист2!B40+Лист3!B38+Лист6!B38+Лист8!B38+Лист10!B39</f>
        <v>0</v>
      </c>
      <c r="C59" s="231">
        <f>Лист1!C50+Лист2!C40+Лист3!C38+Лист6!C38+Лист8!C38+Лист10!C39</f>
        <v>0</v>
      </c>
      <c r="D59" s="221" t="str">
        <f t="shared" si="2"/>
        <v>   </v>
      </c>
      <c r="E59" s="222">
        <f>C59-B59</f>
        <v>0</v>
      </c>
    </row>
    <row r="60" spans="1:5" ht="21" customHeight="1">
      <c r="A60" s="225" t="s">
        <v>220</v>
      </c>
      <c r="B60" s="231">
        <f>Лист7!B45+Лист2!B44+Лист4!B41+Лист5!B40+Лист6!B40+Лист8!B42+Лист1!B54+Лист10!B41</f>
        <v>1306175.6</v>
      </c>
      <c r="C60" s="231">
        <f>Лист7!C45+Лист2!C44+Лист4!C41+Лист5!C40+Лист6!C40+Лист8!C42+Лист1!C54+Лист10!C41</f>
        <v>494396.35</v>
      </c>
      <c r="D60" s="221">
        <f>IF(B60=0,"   ",C60/B60*100)</f>
        <v>37.850680260755134</v>
      </c>
      <c r="E60" s="222">
        <f>C60-B60</f>
        <v>-811779.2500000001</v>
      </c>
    </row>
    <row r="61" spans="1:5" ht="14.25">
      <c r="A61" s="225" t="s">
        <v>105</v>
      </c>
      <c r="B61" s="226">
        <f>B37+B38+B49+B55+B60</f>
        <v>35664424.43</v>
      </c>
      <c r="C61" s="226">
        <f>C37+C38+C49+C55+C60</f>
        <v>29469678.48</v>
      </c>
      <c r="D61" s="227">
        <f t="shared" si="2"/>
        <v>82.63046145001253</v>
      </c>
      <c r="E61" s="228">
        <f aca="true" t="shared" si="3" ref="E61:E96">C61-B61</f>
        <v>-6194745.949999999</v>
      </c>
    </row>
    <row r="62" spans="1:5" ht="23.25" customHeight="1">
      <c r="A62" s="225" t="s">
        <v>11</v>
      </c>
      <c r="B62" s="226">
        <f>B36+B61</f>
        <v>68035350.35</v>
      </c>
      <c r="C62" s="226">
        <f>C36+C61</f>
        <v>52365911.95999999</v>
      </c>
      <c r="D62" s="227">
        <f t="shared" si="2"/>
        <v>76.9686812673259</v>
      </c>
      <c r="E62" s="228">
        <f t="shared" si="3"/>
        <v>-15669438.39</v>
      </c>
    </row>
    <row r="63" spans="1:5" ht="29.25" hidden="1">
      <c r="A63" s="225" t="s">
        <v>48</v>
      </c>
      <c r="B63" s="224"/>
      <c r="C63" s="224"/>
      <c r="D63" s="221" t="str">
        <f t="shared" si="2"/>
        <v>   </v>
      </c>
      <c r="E63" s="222">
        <f t="shared" si="3"/>
        <v>0</v>
      </c>
    </row>
    <row r="64" spans="1:5" ht="15">
      <c r="A64" s="234" t="s">
        <v>12</v>
      </c>
      <c r="B64" s="235"/>
      <c r="C64" s="236"/>
      <c r="D64" s="221" t="str">
        <f t="shared" si="2"/>
        <v>   </v>
      </c>
      <c r="E64" s="222"/>
    </row>
    <row r="65" spans="1:5" ht="15">
      <c r="A65" s="223" t="s">
        <v>35</v>
      </c>
      <c r="B65" s="224">
        <f>Лист1!B57+Лист2!B48+Лист3!B43+Лист4!B44+Лист5!B44+Лист6!B43+Лист7!B49+Лист8!B45+Лист9!B46+Лист10!B45</f>
        <v>13041675</v>
      </c>
      <c r="C65" s="224">
        <f>Лист1!C57+Лист2!C48+Лист3!C43+Лист4!C44+Лист5!C44+Лист6!C43+Лист7!C49+Лист8!C45+Лист9!C46+Лист10!C45</f>
        <v>9920801.5</v>
      </c>
      <c r="D65" s="221">
        <f t="shared" si="2"/>
        <v>76.06999484345377</v>
      </c>
      <c r="E65" s="222">
        <f t="shared" si="3"/>
        <v>-3120873.5</v>
      </c>
    </row>
    <row r="66" spans="1:5" ht="13.5" customHeight="1">
      <c r="A66" s="223" t="s">
        <v>36</v>
      </c>
      <c r="B66" s="224">
        <f>Лист1!B58+Лист2!B49+Лист3!B44+Лист4!B45+Лист5!B45+Лист6!B44+Лист7!B50+Лист8!B46+Лист9!B47+Лист10!B46</f>
        <v>12313975</v>
      </c>
      <c r="C66" s="224">
        <f>Лист1!C58+Лист2!C49+Лист3!C44+Лист4!C45+Лист5!C45+Лист6!C44+Лист7!C50+Лист8!C46+Лист9!C47+Лист10!C46</f>
        <v>9584577.5</v>
      </c>
      <c r="D66" s="221">
        <f t="shared" si="2"/>
        <v>77.83495987282741</v>
      </c>
      <c r="E66" s="222">
        <f t="shared" si="3"/>
        <v>-2729397.5</v>
      </c>
    </row>
    <row r="67" spans="1:5" ht="15">
      <c r="A67" s="223" t="s">
        <v>122</v>
      </c>
      <c r="B67" s="224">
        <f>Лист1!B59+Лист2!B50+Лист3!B45+Лист4!B46+Лист5!B46+Лист6!B45+Лист7!B51+Лист8!B47+Лист9!B48+Лист10!B47</f>
        <v>7968295</v>
      </c>
      <c r="C67" s="224">
        <f>Лист1!C59+Лист2!C50+Лист3!C45+Лист4!C46+Лист5!C46+Лист6!C45+Лист7!C51+Лист8!C47+Лист9!C48+Лист10!C47</f>
        <v>6489541.8</v>
      </c>
      <c r="D67" s="221">
        <f t="shared" si="2"/>
        <v>81.44203747476718</v>
      </c>
      <c r="E67" s="222">
        <f t="shared" si="3"/>
        <v>-1478753.2000000002</v>
      </c>
    </row>
    <row r="68" spans="1:5" ht="15">
      <c r="A68" s="223" t="s">
        <v>96</v>
      </c>
      <c r="B68" s="224">
        <f>Лист1!B60+Лист2!B51+Лист3!B46+Лист4!B47+Лист5!B47+Лист6!B46+Лист7!B52+Лист8!B48+Лист9!B49+Лист10!B48</f>
        <v>180876</v>
      </c>
      <c r="C68" s="224">
        <f>Лист1!C60+Лист2!C51+Лист3!C46+Лист4!C47+Лист5!C47+Лист6!C46+Лист7!C52+Лист8!C48+Лист9!C49+Лист10!C48</f>
        <v>0</v>
      </c>
      <c r="D68" s="221">
        <f t="shared" si="2"/>
        <v>0</v>
      </c>
      <c r="E68" s="222">
        <f t="shared" si="3"/>
        <v>-180876</v>
      </c>
    </row>
    <row r="69" spans="1:5" ht="15">
      <c r="A69" s="223" t="s">
        <v>52</v>
      </c>
      <c r="B69" s="209">
        <f>B70+B72+B73+B71+B74</f>
        <v>546824</v>
      </c>
      <c r="C69" s="209">
        <f>C70+C72+C73+C71+C74</f>
        <v>336224</v>
      </c>
      <c r="D69" s="221">
        <f t="shared" si="2"/>
        <v>61.48669407341302</v>
      </c>
      <c r="E69" s="222">
        <f t="shared" si="3"/>
        <v>-210600</v>
      </c>
    </row>
    <row r="70" spans="1:5" ht="57.75" customHeight="1">
      <c r="A70" s="237" t="s">
        <v>166</v>
      </c>
      <c r="B70" s="224">
        <f>Лист7!B54+Лист1!B62+Лист2!B53+Лист3!B48+Лист4!B50+Лист5!B49+Лист6!B48+Лист8!B50+Лист9!B53+Лист10!B50</f>
        <v>10700</v>
      </c>
      <c r="C70" s="224">
        <f>Лист7!C54+Лист1!C62+Лист2!C53+Лист3!C48+Лист4!C50+Лист5!C49+Лист6!C48+Лист8!C50+Лист9!C53+Лист10!C50</f>
        <v>0</v>
      </c>
      <c r="D70" s="221">
        <f t="shared" si="2"/>
        <v>0</v>
      </c>
      <c r="E70" s="222">
        <f t="shared" si="3"/>
        <v>-10700</v>
      </c>
    </row>
    <row r="71" spans="1:5" ht="42.75" customHeight="1">
      <c r="A71" s="237" t="s">
        <v>205</v>
      </c>
      <c r="B71" s="224">
        <v>0</v>
      </c>
      <c r="C71" s="224">
        <f>Лист1!C63+Лист7!C55</f>
        <v>0</v>
      </c>
      <c r="D71" s="221" t="str">
        <f t="shared" si="2"/>
        <v>   </v>
      </c>
      <c r="E71" s="222">
        <f>C71-B71</f>
        <v>0</v>
      </c>
    </row>
    <row r="72" spans="1:5" ht="26.25" customHeight="1">
      <c r="A72" s="237" t="s">
        <v>290</v>
      </c>
      <c r="B72" s="224">
        <f>Лист1!B63+Лист5!B50</f>
        <v>332664</v>
      </c>
      <c r="C72" s="224">
        <f>Лист1!C63+Лист5!C50</f>
        <v>211664</v>
      </c>
      <c r="D72" s="221">
        <f t="shared" si="2"/>
        <v>63.626962941586704</v>
      </c>
      <c r="E72" s="222">
        <f>C72-B72</f>
        <v>-121000</v>
      </c>
    </row>
    <row r="73" spans="1:5" ht="61.5" customHeight="1">
      <c r="A73" s="237" t="s">
        <v>260</v>
      </c>
      <c r="B73" s="224">
        <f>Лист9!B52</f>
        <v>3460</v>
      </c>
      <c r="C73" s="224">
        <f>Лист9!C52</f>
        <v>3460</v>
      </c>
      <c r="D73" s="221">
        <f t="shared" si="2"/>
        <v>100</v>
      </c>
      <c r="E73" s="222">
        <f>C73-B73</f>
        <v>0</v>
      </c>
    </row>
    <row r="74" spans="1:5" ht="42" customHeight="1">
      <c r="A74" s="237" t="s">
        <v>251</v>
      </c>
      <c r="B74" s="224">
        <f>Лист7!B56</f>
        <v>200000</v>
      </c>
      <c r="C74" s="224">
        <f>Лист7!C56</f>
        <v>121100</v>
      </c>
      <c r="D74" s="224">
        <f>Лист7!D56</f>
        <v>60.550000000000004</v>
      </c>
      <c r="E74" s="222">
        <f>C74-B74</f>
        <v>-78900</v>
      </c>
    </row>
    <row r="75" spans="1:5" ht="15">
      <c r="A75" s="223" t="s">
        <v>49</v>
      </c>
      <c r="B75" s="209">
        <f>SUM(B76)</f>
        <v>1069000</v>
      </c>
      <c r="C75" s="209">
        <f>SUM(C76)</f>
        <v>832838.6699999999</v>
      </c>
      <c r="D75" s="221">
        <f t="shared" si="2"/>
        <v>77.90820112254443</v>
      </c>
      <c r="E75" s="222">
        <f t="shared" si="3"/>
        <v>-236161.33000000007</v>
      </c>
    </row>
    <row r="76" spans="1:5" ht="29.25" customHeight="1">
      <c r="A76" s="223" t="s">
        <v>108</v>
      </c>
      <c r="B76" s="224">
        <f>Лист1!B65+Лист2!B55+Лист3!B51+Лист4!B52+Лист5!B52+Лист6!B50+Лист7!B59+Лист8!B52+Лист9!B55+Лист10!B52</f>
        <v>1069000</v>
      </c>
      <c r="C76" s="224">
        <f>Лист1!C65+Лист2!C55+Лист3!C51+Лист4!C52+Лист5!C52+Лист6!C50+Лист7!C59+Лист8!C52+Лист9!C55+Лист10!C52</f>
        <v>832838.6699999999</v>
      </c>
      <c r="D76" s="221">
        <f t="shared" si="2"/>
        <v>77.90820112254443</v>
      </c>
      <c r="E76" s="222">
        <f t="shared" si="3"/>
        <v>-236161.33000000007</v>
      </c>
    </row>
    <row r="77" spans="1:5" ht="30">
      <c r="A77" s="223" t="s">
        <v>37</v>
      </c>
      <c r="B77" s="224">
        <f>Лист1!B66+Лист2!B56+Лист3!B52+Лист4!B53+Лист5!B53+Лист6!B51+Лист7!B60+Лист8!B53+Лист9!B56+Лист10!B53</f>
        <v>953200</v>
      </c>
      <c r="C77" s="224">
        <f>Лист1!C66+Лист2!C56+Лист3!C52+Лист4!C53+Лист5!C53+Лист6!C51+Лист7!C60+Лист8!C53+Лист9!C56+Лист10!C53</f>
        <v>720713.09</v>
      </c>
      <c r="D77" s="221">
        <f t="shared" si="2"/>
        <v>75.60984997901804</v>
      </c>
      <c r="E77" s="222">
        <f t="shared" si="3"/>
        <v>-232486.91000000003</v>
      </c>
    </row>
    <row r="78" spans="1:5" ht="45" customHeight="1">
      <c r="A78" s="223" t="s">
        <v>87</v>
      </c>
      <c r="B78" s="209">
        <f>Лист7!B61</f>
        <v>875200</v>
      </c>
      <c r="C78" s="209">
        <f>Лист7!C61</f>
        <v>700313.09</v>
      </c>
      <c r="D78" s="221">
        <f t="shared" si="2"/>
        <v>80.01749200182815</v>
      </c>
      <c r="E78" s="222">
        <f t="shared" si="3"/>
        <v>-174886.91000000003</v>
      </c>
    </row>
    <row r="79" spans="1:5" ht="18.75" customHeight="1">
      <c r="A79" s="223" t="s">
        <v>97</v>
      </c>
      <c r="B79" s="224">
        <f>Лист7!B62</f>
        <v>875200</v>
      </c>
      <c r="C79" s="224">
        <f>Лист7!C62</f>
        <v>700313.09</v>
      </c>
      <c r="D79" s="221">
        <f t="shared" si="2"/>
        <v>80.01749200182815</v>
      </c>
      <c r="E79" s="222">
        <f t="shared" si="3"/>
        <v>-174886.91000000003</v>
      </c>
    </row>
    <row r="80" spans="1:5" ht="15.75" customHeight="1">
      <c r="A80" s="223" t="s">
        <v>122</v>
      </c>
      <c r="B80" s="224">
        <f>Лист7!B63</f>
        <v>652900</v>
      </c>
      <c r="C80" s="224">
        <f>Лист7!C63</f>
        <v>500467.71</v>
      </c>
      <c r="D80" s="221">
        <f t="shared" si="2"/>
        <v>76.6530418134477</v>
      </c>
      <c r="E80" s="222">
        <f t="shared" si="3"/>
        <v>-152432.28999999998</v>
      </c>
    </row>
    <row r="81" spans="1:5" ht="15">
      <c r="A81" s="223" t="s">
        <v>98</v>
      </c>
      <c r="B81" s="224">
        <f>Лист1!B67+Лист2!B57+Лист3!B53+Лист4!B54+Лист5!B54+Лист6!B52+Лист7!B64+Лист8!B54+Лист9!B57+Лист10!B54</f>
        <v>78000</v>
      </c>
      <c r="C81" s="224">
        <f>Лист1!C67+Лист2!C57+Лист3!C53+Лист4!C54+Лист5!C54+Лист6!C52+Лист7!C64+Лист8!C54+Лист9!C57+Лист10!C54</f>
        <v>20400</v>
      </c>
      <c r="D81" s="221">
        <f t="shared" si="2"/>
        <v>26.153846153846157</v>
      </c>
      <c r="E81" s="222">
        <f t="shared" si="3"/>
        <v>-57600</v>
      </c>
    </row>
    <row r="82" spans="1:5" ht="15">
      <c r="A82" s="223" t="s">
        <v>38</v>
      </c>
      <c r="B82" s="209">
        <f>B86+B83+B107</f>
        <v>12184011</v>
      </c>
      <c r="C82" s="209">
        <f>C86+C83+C107</f>
        <v>7635959.54</v>
      </c>
      <c r="D82" s="221">
        <f t="shared" si="2"/>
        <v>62.67196853318665</v>
      </c>
      <c r="E82" s="222">
        <f t="shared" si="3"/>
        <v>-4548051.46</v>
      </c>
    </row>
    <row r="83" spans="1:5" ht="21" customHeight="1">
      <c r="A83" s="238" t="s">
        <v>200</v>
      </c>
      <c r="B83" s="209">
        <f>B85+B84</f>
        <v>108200</v>
      </c>
      <c r="C83" s="209">
        <f>C85+C84</f>
        <v>23122.6</v>
      </c>
      <c r="D83" s="221">
        <f t="shared" si="2"/>
        <v>21.370240295748612</v>
      </c>
      <c r="E83" s="222">
        <f>C83-B83</f>
        <v>-85077.4</v>
      </c>
    </row>
    <row r="84" spans="1:5" ht="30" customHeight="1">
      <c r="A84" s="239" t="s">
        <v>183</v>
      </c>
      <c r="B84" s="209">
        <f>Лист10!B57+Лист7!B67+Лист2!B61+Лист6!B56+Лист1!B71+Лист3!B57+Лист4!B58+Лист5!B58+Лист8!B58+Лист9!B61</f>
        <v>60000</v>
      </c>
      <c r="C84" s="209">
        <f>Лист10!C57+Лист7!C67+Лист2!C61+Лист6!C56+Лист1!C71+Лист3!C57+Лист4!C58+Лист5!C58+Лист8!C58+Лист9!C61</f>
        <v>16900</v>
      </c>
      <c r="D84" s="221">
        <f t="shared" si="2"/>
        <v>28.166666666666668</v>
      </c>
      <c r="E84" s="222">
        <f>C84-B84</f>
        <v>-43100</v>
      </c>
    </row>
    <row r="85" spans="1:5" ht="30">
      <c r="A85" s="240" t="s">
        <v>179</v>
      </c>
      <c r="B85" s="209">
        <f>Лист1!B70+Лист2!B60+Лист3!B56+Лист4!B57+Лист5!B57+Лист6!B55+Лист7!B68+Лист8!B57+Лист9!B60+Лист10!B58</f>
        <v>48200</v>
      </c>
      <c r="C85" s="209">
        <f>Лист1!C70+Лист2!C60+Лист3!C56+Лист4!C57+Лист5!C57+Лист6!C55+Лист7!C68+Лист8!C57+Лист9!C60+Лист10!C58</f>
        <v>6222.6</v>
      </c>
      <c r="D85" s="221">
        <f t="shared" si="2"/>
        <v>12.909958506224067</v>
      </c>
      <c r="E85" s="222">
        <f>C85-B85</f>
        <v>-41977.4</v>
      </c>
    </row>
    <row r="86" spans="1:5" ht="15">
      <c r="A86" s="241" t="s">
        <v>134</v>
      </c>
      <c r="B86" s="209">
        <f>B87+B94+B96+B98+B97+B91+B92+B95+B101+B105+B100+B99+B93</f>
        <v>11891311</v>
      </c>
      <c r="C86" s="209">
        <f>C87+C94+C96+C98+C97+C91+C92+C95+C101+C105+C100+C99+C93</f>
        <v>7570336.94</v>
      </c>
      <c r="D86" s="221">
        <f aca="true" t="shared" si="4" ref="D86:D113">IF(B86=0,"   ",C86/B86*100)</f>
        <v>63.662761322111585</v>
      </c>
      <c r="E86" s="222">
        <f t="shared" si="3"/>
        <v>-4320974.06</v>
      </c>
    </row>
    <row r="87" spans="1:5" ht="30">
      <c r="A87" s="237" t="s">
        <v>265</v>
      </c>
      <c r="B87" s="209">
        <f>B89+B88+B90</f>
        <v>450000</v>
      </c>
      <c r="C87" s="209">
        <f>C89+C88+C90</f>
        <v>450000</v>
      </c>
      <c r="D87" s="221">
        <f>IF(B87=0,"   ",C87/B87*100)</f>
        <v>100</v>
      </c>
      <c r="E87" s="222">
        <f>C87-B87</f>
        <v>0</v>
      </c>
    </row>
    <row r="88" spans="1:5" ht="46.5" customHeight="1">
      <c r="A88" s="237" t="s">
        <v>223</v>
      </c>
      <c r="B88" s="209">
        <f>Лист1!B74</f>
        <v>270000</v>
      </c>
      <c r="C88" s="209">
        <f>Лист1!C74</f>
        <v>270000</v>
      </c>
      <c r="D88" s="221">
        <f>IF(B88=0,"   ",C88/B88*100)</f>
        <v>100</v>
      </c>
      <c r="E88" s="222">
        <f>C88-B88</f>
        <v>0</v>
      </c>
    </row>
    <row r="89" spans="1:5" ht="44.25" customHeight="1">
      <c r="A89" s="120" t="s">
        <v>266</v>
      </c>
      <c r="B89" s="209">
        <f>Лист1!B75</f>
        <v>90000</v>
      </c>
      <c r="C89" s="209">
        <f>Лист1!C75</f>
        <v>90000</v>
      </c>
      <c r="D89" s="221">
        <f t="shared" si="4"/>
        <v>100</v>
      </c>
      <c r="E89" s="222">
        <f t="shared" si="3"/>
        <v>0</v>
      </c>
    </row>
    <row r="90" spans="1:5" ht="45.75" customHeight="1">
      <c r="A90" s="120" t="s">
        <v>279</v>
      </c>
      <c r="B90" s="209">
        <f>Лист1!B76</f>
        <v>90000</v>
      </c>
      <c r="C90" s="209">
        <f>Лист1!C76</f>
        <v>90000</v>
      </c>
      <c r="D90" s="221">
        <f t="shared" si="4"/>
        <v>100</v>
      </c>
      <c r="E90" s="222">
        <f t="shared" si="3"/>
        <v>0</v>
      </c>
    </row>
    <row r="91" spans="1:5" ht="27" customHeight="1">
      <c r="A91" s="239" t="s">
        <v>197</v>
      </c>
      <c r="B91" s="209">
        <f>Лист1!B79+Лист9!B65</f>
        <v>11500</v>
      </c>
      <c r="C91" s="209">
        <f>Лист1!C79+Лист9!C65</f>
        <v>0</v>
      </c>
      <c r="D91" s="221">
        <f t="shared" si="4"/>
        <v>0</v>
      </c>
      <c r="E91" s="222">
        <f t="shared" si="3"/>
        <v>-11500</v>
      </c>
    </row>
    <row r="92" spans="1:5" ht="27" customHeight="1">
      <c r="A92" s="242" t="s">
        <v>203</v>
      </c>
      <c r="B92" s="209">
        <f>Лист2!B63+Лист3!B60+Лист6!B59+Лист8!B61+Лист10!B60+Лист5!B60+Лист7!B74+Лист4!B60</f>
        <v>1554854</v>
      </c>
      <c r="C92" s="209">
        <f>Лист2!C63+Лист3!C60+Лист6!C59+Лист8!C61+Лист10!C60+Лист5!C60+Лист7!C74+Лист4!C60</f>
        <v>1214481.71</v>
      </c>
      <c r="D92" s="221">
        <f t="shared" si="4"/>
        <v>78.10905139646552</v>
      </c>
      <c r="E92" s="222">
        <f>C92-B92</f>
        <v>-340372.29000000004</v>
      </c>
    </row>
    <row r="93" spans="1:5" ht="27" customHeight="1">
      <c r="A93" s="239" t="s">
        <v>235</v>
      </c>
      <c r="B93" s="209">
        <f>Лист7!B75</f>
        <v>0</v>
      </c>
      <c r="C93" s="209">
        <f>Лист7!C75</f>
        <v>0</v>
      </c>
      <c r="D93" s="221" t="str">
        <f t="shared" si="4"/>
        <v>   </v>
      </c>
      <c r="E93" s="222">
        <f>C93-B93</f>
        <v>0</v>
      </c>
    </row>
    <row r="94" spans="1:5" ht="46.5" customHeight="1">
      <c r="A94" s="240" t="s">
        <v>135</v>
      </c>
      <c r="B94" s="209">
        <f>Лист1!B80+Лист2!B64+Лист3!B61+Лист4!B61+Лист5!B61+Лист6!B60+Лист7!B76+Лист8!B62+Лист9!B66+Лист10!B61</f>
        <v>4089700</v>
      </c>
      <c r="C94" s="209">
        <f>Лист1!C80+Лист2!C64+Лист3!C61+Лист4!C61+Лист5!C61+Лист6!C60+Лист7!C76+Лист8!C62+Лист9!C66+Лист10!C61</f>
        <v>1890095</v>
      </c>
      <c r="D94" s="221">
        <f t="shared" si="4"/>
        <v>46.21598161234321</v>
      </c>
      <c r="E94" s="222">
        <f t="shared" si="3"/>
        <v>-2199605</v>
      </c>
    </row>
    <row r="95" spans="1:5" ht="47.25" customHeight="1">
      <c r="A95" s="237" t="s">
        <v>190</v>
      </c>
      <c r="B95" s="209">
        <f>Лист3!B62</f>
        <v>0</v>
      </c>
      <c r="C95" s="209">
        <f>Лист3!C62</f>
        <v>0</v>
      </c>
      <c r="D95" s="221" t="str">
        <f t="shared" si="4"/>
        <v>   </v>
      </c>
      <c r="E95" s="222">
        <f>C95-B95</f>
        <v>0</v>
      </c>
    </row>
    <row r="96" spans="1:5" ht="45" customHeight="1">
      <c r="A96" s="237" t="s">
        <v>196</v>
      </c>
      <c r="B96" s="209">
        <f>Лист1!B81+Лист2!B65+Лист3!B63+Лист4!B62+Лист5!B62+Лист6!B61+Лист7!B77+Лист8!B63+Лист9!B67+Лист10!B62</f>
        <v>3865300</v>
      </c>
      <c r="C96" s="209">
        <f>Лист1!C81+Лист2!C65+Лист3!C63+Лист4!C62+Лист5!C62+Лист6!C61+Лист7!C77+Лист8!C63+Лист9!C67+Лист10!C62</f>
        <v>2226691.23</v>
      </c>
      <c r="D96" s="221">
        <f t="shared" si="4"/>
        <v>57.607203321863764</v>
      </c>
      <c r="E96" s="222">
        <f t="shared" si="3"/>
        <v>-1638608.77</v>
      </c>
    </row>
    <row r="97" spans="1:5" ht="42.75" customHeight="1">
      <c r="A97" s="237" t="s">
        <v>215</v>
      </c>
      <c r="B97" s="209">
        <f>Лист7!B78</f>
        <v>1615800</v>
      </c>
      <c r="C97" s="209">
        <f>Лист7!C78</f>
        <v>1609536</v>
      </c>
      <c r="D97" s="221">
        <f t="shared" si="4"/>
        <v>99.61232825844782</v>
      </c>
      <c r="E97" s="222">
        <f aca="true" t="shared" si="5" ref="E97:E152">C97-B97</f>
        <v>-6264</v>
      </c>
    </row>
    <row r="98" spans="1:5" ht="30.75" customHeight="1">
      <c r="A98" s="237" t="s">
        <v>181</v>
      </c>
      <c r="B98" s="209">
        <f>Лист7!B79</f>
        <v>179533</v>
      </c>
      <c r="C98" s="209">
        <f>Лист7!C79</f>
        <v>179533</v>
      </c>
      <c r="D98" s="221">
        <f t="shared" si="4"/>
        <v>100</v>
      </c>
      <c r="E98" s="222">
        <f t="shared" si="5"/>
        <v>0</v>
      </c>
    </row>
    <row r="99" spans="1:5" ht="30.75" customHeight="1">
      <c r="A99" s="237" t="s">
        <v>236</v>
      </c>
      <c r="B99" s="209">
        <f>Лист7!B80</f>
        <v>62024</v>
      </c>
      <c r="C99" s="209">
        <f>Лист7!C80</f>
        <v>0</v>
      </c>
      <c r="D99" s="221">
        <f t="shared" si="4"/>
        <v>0</v>
      </c>
      <c r="E99" s="222">
        <f t="shared" si="5"/>
        <v>-62024</v>
      </c>
    </row>
    <row r="100" spans="1:5" ht="30" customHeight="1">
      <c r="A100" s="237" t="s">
        <v>234</v>
      </c>
      <c r="B100" s="209">
        <v>0</v>
      </c>
      <c r="C100" s="209">
        <v>0</v>
      </c>
      <c r="D100" s="221" t="str">
        <f t="shared" si="4"/>
        <v>   </v>
      </c>
      <c r="E100" s="222">
        <f t="shared" si="5"/>
        <v>0</v>
      </c>
    </row>
    <row r="101" spans="1:5" ht="30.75" customHeight="1">
      <c r="A101" s="237" t="s">
        <v>213</v>
      </c>
      <c r="B101" s="213">
        <f>B102+B104+B103</f>
        <v>0</v>
      </c>
      <c r="C101" s="213">
        <f>C102+C104+C103</f>
        <v>0</v>
      </c>
      <c r="D101" s="210" t="str">
        <f>IF(B101=0,"   ",C101/B101)</f>
        <v>   </v>
      </c>
      <c r="E101" s="211">
        <f t="shared" si="5"/>
        <v>0</v>
      </c>
    </row>
    <row r="102" spans="1:5" ht="15">
      <c r="A102" s="237" t="s">
        <v>210</v>
      </c>
      <c r="B102" s="213">
        <f>Лист7!B83</f>
        <v>0</v>
      </c>
      <c r="C102" s="213">
        <f>Лист7!C83</f>
        <v>0</v>
      </c>
      <c r="D102" s="210" t="str">
        <f>IF(B102=0,"   ",C102/B102)</f>
        <v>   </v>
      </c>
      <c r="E102" s="211">
        <f t="shared" si="5"/>
        <v>0</v>
      </c>
    </row>
    <row r="103" spans="1:5" ht="15">
      <c r="A103" s="237" t="s">
        <v>211</v>
      </c>
      <c r="B103" s="213">
        <f>Лист7!B84</f>
        <v>0</v>
      </c>
      <c r="C103" s="213">
        <f>Лист7!C84</f>
        <v>0</v>
      </c>
      <c r="D103" s="210" t="str">
        <f>IF(B103=0,"   ",C103/B103)</f>
        <v>   </v>
      </c>
      <c r="E103" s="211">
        <f t="shared" si="5"/>
        <v>0</v>
      </c>
    </row>
    <row r="104" spans="1:5" ht="15">
      <c r="A104" s="240" t="s">
        <v>212</v>
      </c>
      <c r="B104" s="213">
        <f>Лист7!B85</f>
        <v>0</v>
      </c>
      <c r="C104" s="213">
        <f>Лист7!C85</f>
        <v>0</v>
      </c>
      <c r="D104" s="210" t="str">
        <f>IF(B104=0,"   ",C104/B104)</f>
        <v>   </v>
      </c>
      <c r="E104" s="211">
        <f t="shared" si="5"/>
        <v>0</v>
      </c>
    </row>
    <row r="105" spans="1:5" ht="30">
      <c r="A105" s="237" t="s">
        <v>217</v>
      </c>
      <c r="B105" s="213">
        <f>Лист7!B86</f>
        <v>62600</v>
      </c>
      <c r="C105" s="213">
        <f>Лист7!C86</f>
        <v>0</v>
      </c>
      <c r="D105" s="213">
        <f>Лист7!D86</f>
        <v>0</v>
      </c>
      <c r="E105" s="213">
        <f>Лист7!E86</f>
        <v>-62600</v>
      </c>
    </row>
    <row r="106" spans="1:5" ht="15">
      <c r="A106" s="237" t="s">
        <v>218</v>
      </c>
      <c r="B106" s="213">
        <f>Лист7!B87</f>
        <v>62600</v>
      </c>
      <c r="C106" s="213">
        <f>Лист7!C87</f>
        <v>0</v>
      </c>
      <c r="D106" s="213">
        <f>Лист7!D87</f>
        <v>0</v>
      </c>
      <c r="E106" s="213">
        <f>Лист7!E87</f>
        <v>-62600</v>
      </c>
    </row>
    <row r="107" spans="1:5" ht="18.75" customHeight="1">
      <c r="A107" s="241" t="s">
        <v>207</v>
      </c>
      <c r="B107" s="209">
        <f>B108+B109</f>
        <v>184500</v>
      </c>
      <c r="C107" s="209">
        <f>C108+C109</f>
        <v>42500</v>
      </c>
      <c r="D107" s="221">
        <f t="shared" si="4"/>
        <v>23.035230352303522</v>
      </c>
      <c r="E107" s="222">
        <f t="shared" si="5"/>
        <v>-142000</v>
      </c>
    </row>
    <row r="108" spans="1:5" ht="30" customHeight="1">
      <c r="A108" s="239" t="s">
        <v>208</v>
      </c>
      <c r="B108" s="209">
        <f>Лист2!B67+Лист3!B65+Лист1!B83</f>
        <v>129500</v>
      </c>
      <c r="C108" s="209">
        <f>Лист2!C67+Лист3!C65+Лист1!C83</f>
        <v>42500</v>
      </c>
      <c r="D108" s="221">
        <f t="shared" si="4"/>
        <v>32.818532818532816</v>
      </c>
      <c r="E108" s="222">
        <f>C108-B108</f>
        <v>-87000</v>
      </c>
    </row>
    <row r="109" spans="1:5" ht="46.5" customHeight="1">
      <c r="A109" s="87" t="s">
        <v>283</v>
      </c>
      <c r="B109" s="209">
        <f>Лист1!B84</f>
        <v>55000</v>
      </c>
      <c r="C109" s="209">
        <f>Лист1!C84</f>
        <v>0</v>
      </c>
      <c r="D109" s="221"/>
      <c r="E109" s="222"/>
    </row>
    <row r="110" spans="1:5" ht="15.75" customHeight="1">
      <c r="A110" s="223" t="s">
        <v>13</v>
      </c>
      <c r="B110" s="224">
        <f>SUM(B111,B114,B126,)</f>
        <v>29511149.35</v>
      </c>
      <c r="C110" s="224">
        <f>SUM(C111,C114,C126,)</f>
        <v>21527271.34</v>
      </c>
      <c r="D110" s="221">
        <f t="shared" si="4"/>
        <v>72.94623155705726</v>
      </c>
      <c r="E110" s="222">
        <f t="shared" si="5"/>
        <v>-7983878.010000002</v>
      </c>
    </row>
    <row r="111" spans="1:5" ht="14.25" customHeight="1">
      <c r="A111" s="223" t="s">
        <v>14</v>
      </c>
      <c r="B111" s="224">
        <f>SUM(B112:B113)</f>
        <v>1160000</v>
      </c>
      <c r="C111" s="224">
        <f>SUM(C112:C113)</f>
        <v>619400</v>
      </c>
      <c r="D111" s="221">
        <f t="shared" si="4"/>
        <v>53.39655172413793</v>
      </c>
      <c r="E111" s="222">
        <f t="shared" si="5"/>
        <v>-540600</v>
      </c>
    </row>
    <row r="112" spans="1:5" ht="14.25" customHeight="1">
      <c r="A112" s="223" t="s">
        <v>93</v>
      </c>
      <c r="B112" s="224">
        <f>Лист7!B92+Лист9!B70+Лист1!B89</f>
        <v>800000</v>
      </c>
      <c r="C112" s="224">
        <f>Лист7!C92+Лист9!C70+Лист1!C89</f>
        <v>260000</v>
      </c>
      <c r="D112" s="221">
        <f t="shared" si="4"/>
        <v>32.5</v>
      </c>
      <c r="E112" s="222">
        <f t="shared" si="5"/>
        <v>-540000</v>
      </c>
    </row>
    <row r="113" spans="1:5" ht="21.75" customHeight="1">
      <c r="A113" s="223" t="s">
        <v>214</v>
      </c>
      <c r="B113" s="224">
        <f>Лист7!B93</f>
        <v>360000</v>
      </c>
      <c r="C113" s="224">
        <f>Лист7!C93</f>
        <v>359400</v>
      </c>
      <c r="D113" s="221">
        <f t="shared" si="4"/>
        <v>99.83333333333333</v>
      </c>
      <c r="E113" s="222">
        <f>C113-B113</f>
        <v>-600</v>
      </c>
    </row>
    <row r="114" spans="1:5" ht="14.25" customHeight="1">
      <c r="A114" s="223" t="s">
        <v>70</v>
      </c>
      <c r="B114" s="224">
        <f>SUM(B115:B116,B120:B125)</f>
        <v>5292084.51</v>
      </c>
      <c r="C114" s="224">
        <f>SUM(C115:C116,C120:C125)</f>
        <v>3489910.4800000004</v>
      </c>
      <c r="D114" s="221">
        <f aca="true" t="shared" si="6" ref="D114:D158">IF(B114=0,"   ",C114/B114*100)</f>
        <v>65.94585693794977</v>
      </c>
      <c r="E114" s="222">
        <f t="shared" si="5"/>
        <v>-1802174.0299999993</v>
      </c>
    </row>
    <row r="115" spans="1:5" ht="15">
      <c r="A115" s="223" t="s">
        <v>71</v>
      </c>
      <c r="B115" s="224">
        <f>Лист7!B99</f>
        <v>600000</v>
      </c>
      <c r="C115" s="224">
        <f>Лист7!C99</f>
        <v>250514.75</v>
      </c>
      <c r="D115" s="221">
        <f t="shared" si="6"/>
        <v>41.75245833333333</v>
      </c>
      <c r="E115" s="222">
        <f t="shared" si="5"/>
        <v>-349485.25</v>
      </c>
    </row>
    <row r="116" spans="1:5" ht="30">
      <c r="A116" s="237" t="s">
        <v>265</v>
      </c>
      <c r="B116" s="224">
        <f>SUM(B117:B119)</f>
        <v>3117118.9999999995</v>
      </c>
      <c r="C116" s="224">
        <f>SUM(C117:C119)</f>
        <v>1955159.6</v>
      </c>
      <c r="D116" s="221">
        <f t="shared" si="6"/>
        <v>62.723290320324644</v>
      </c>
      <c r="E116" s="222">
        <f t="shared" si="5"/>
        <v>-1161959.3999999994</v>
      </c>
    </row>
    <row r="117" spans="1:5" ht="44.25" customHeight="1">
      <c r="A117" s="237" t="s">
        <v>275</v>
      </c>
      <c r="B117" s="224">
        <f>Лист2!B72+Лист5!B66+Лист6!B65+Лист10!B66</f>
        <v>1619843.4</v>
      </c>
      <c r="C117" s="224">
        <f>Лист2!C72+Лист5!C66+Лист6!C65</f>
        <v>1233292.8</v>
      </c>
      <c r="D117" s="221">
        <f aca="true" t="shared" si="7" ref="D117:D123">IF(B117=0,"   ",C117/B117*100)</f>
        <v>76.13654505120681</v>
      </c>
      <c r="E117" s="222">
        <f aca="true" t="shared" si="8" ref="E117:E123">C117-B117</f>
        <v>-386550.59999999986</v>
      </c>
    </row>
    <row r="118" spans="1:5" ht="44.25" customHeight="1">
      <c r="A118" s="237" t="s">
        <v>276</v>
      </c>
      <c r="B118" s="224">
        <f>Лист2!B73+Лист5!B67+Лист6!B66+Лист10!B67</f>
        <v>918331.7</v>
      </c>
      <c r="C118" s="224">
        <f>Лист2!C73+Лист5!C67+Лист6!C66+Лист10!C67</f>
        <v>586970.45</v>
      </c>
      <c r="D118" s="221">
        <f>IF(B118=0,"   ",C118/B118*100)</f>
        <v>63.91704108657035</v>
      </c>
      <c r="E118" s="222">
        <f>C118-B118</f>
        <v>-331361.25</v>
      </c>
    </row>
    <row r="119" spans="1:5" ht="44.25" customHeight="1">
      <c r="A119" s="237" t="s">
        <v>277</v>
      </c>
      <c r="B119" s="224">
        <f>Лист2!B74+Лист5!B68+Лист6!B67+Лист7!B98+Лист10!B68</f>
        <v>578943.9</v>
      </c>
      <c r="C119" s="224">
        <f>Лист2!C74+Лист5!C68+Лист6!C67+Лист7!C98+Лист10!C68</f>
        <v>134896.34999999998</v>
      </c>
      <c r="D119" s="221">
        <f t="shared" si="7"/>
        <v>23.300418227051008</v>
      </c>
      <c r="E119" s="222">
        <f t="shared" si="8"/>
        <v>-444047.55000000005</v>
      </c>
    </row>
    <row r="120" spans="1:5" ht="57" customHeight="1">
      <c r="A120" s="223" t="s">
        <v>194</v>
      </c>
      <c r="B120" s="224">
        <f>Лист9!B72</f>
        <v>903882.25</v>
      </c>
      <c r="C120" s="224">
        <f>Лист9!C72</f>
        <v>895752</v>
      </c>
      <c r="D120" s="221">
        <f t="shared" si="7"/>
        <v>99.1005189005537</v>
      </c>
      <c r="E120" s="222">
        <f t="shared" si="8"/>
        <v>-8130.25</v>
      </c>
    </row>
    <row r="121" spans="1:5" ht="59.25" customHeight="1">
      <c r="A121" s="223" t="s">
        <v>261</v>
      </c>
      <c r="B121" s="224">
        <f>Лист9!B73</f>
        <v>18888.74</v>
      </c>
      <c r="C121" s="224">
        <f>Лист9!C73</f>
        <v>18888.74</v>
      </c>
      <c r="D121" s="221">
        <f t="shared" si="7"/>
        <v>100</v>
      </c>
      <c r="E121" s="222">
        <f t="shared" si="8"/>
        <v>0</v>
      </c>
    </row>
    <row r="122" spans="1:5" ht="33.75" customHeight="1">
      <c r="A122" s="223" t="s">
        <v>253</v>
      </c>
      <c r="B122" s="224">
        <f>Лист1!B92</f>
        <v>17293.6</v>
      </c>
      <c r="C122" s="224">
        <f>Лист1!C92</f>
        <v>17293.6</v>
      </c>
      <c r="D122" s="221">
        <f t="shared" si="7"/>
        <v>100</v>
      </c>
      <c r="E122" s="222">
        <f t="shared" si="8"/>
        <v>0</v>
      </c>
    </row>
    <row r="123" spans="1:5" ht="45">
      <c r="A123" s="223" t="s">
        <v>250</v>
      </c>
      <c r="B123" s="224">
        <f>Лист2!B70+Лист7!B95</f>
        <v>321000</v>
      </c>
      <c r="C123" s="224">
        <f>Лист2!C70+Лист7!C95</f>
        <v>109155.15</v>
      </c>
      <c r="D123" s="221">
        <f t="shared" si="7"/>
        <v>34.004719626168225</v>
      </c>
      <c r="E123" s="222">
        <f t="shared" si="8"/>
        <v>-211844.85</v>
      </c>
    </row>
    <row r="124" spans="1:5" ht="30">
      <c r="A124" s="220" t="s">
        <v>293</v>
      </c>
      <c r="B124" s="224">
        <f>Лист4!B64</f>
        <v>10875</v>
      </c>
      <c r="C124" s="224">
        <f>Лист4!C64</f>
        <v>0</v>
      </c>
      <c r="D124" s="221">
        <f>IF(B124=0,"   ",C124/B124*100)</f>
        <v>0</v>
      </c>
      <c r="E124" s="222">
        <f>C124-B124</f>
        <v>-10875</v>
      </c>
    </row>
    <row r="125" spans="1:5" ht="17.25" customHeight="1">
      <c r="A125" s="220" t="s">
        <v>171</v>
      </c>
      <c r="B125" s="224">
        <f>Лист7!B96+Лист9!B74+Лист1!B91</f>
        <v>303025.92</v>
      </c>
      <c r="C125" s="224">
        <f>Лист7!C96+Лист9!C74+Лист2!C70+Лист1!C91</f>
        <v>243146.64</v>
      </c>
      <c r="D125" s="221">
        <f t="shared" si="6"/>
        <v>80.23955178487702</v>
      </c>
      <c r="E125" s="222">
        <f t="shared" si="5"/>
        <v>-59879.27999999997</v>
      </c>
    </row>
    <row r="126" spans="1:5" ht="15">
      <c r="A126" s="223" t="s">
        <v>72</v>
      </c>
      <c r="B126" s="224">
        <f>B127+B130+B131+B132+B138+B129+B139+B143+B133+B128</f>
        <v>23059064.84</v>
      </c>
      <c r="C126" s="224">
        <f>C127+C130+C131+C132+C138+C129+C139+C143+C133+C128</f>
        <v>17417960.86</v>
      </c>
      <c r="D126" s="221">
        <f t="shared" si="6"/>
        <v>75.53628467094418</v>
      </c>
      <c r="E126" s="222">
        <f t="shared" si="5"/>
        <v>-5641103.98</v>
      </c>
    </row>
    <row r="127" spans="1:5" ht="15">
      <c r="A127" s="223" t="s">
        <v>60</v>
      </c>
      <c r="B127" s="224">
        <f>Лист1!B94+Лист2!B77+Лист3!B69+Лист4!B66+Лист5!B70+Лист6!B69+Лист7!B101+Лист8!B70+Лист9!B76+Лист10!B70</f>
        <v>7448851.26</v>
      </c>
      <c r="C127" s="224">
        <f>Лист1!C94+Лист2!C77+Лист3!C69+Лист4!C66+Лист5!C70+Лист6!C69+Лист7!C101+Лист8!C70+Лист9!C76+Лист10!C70</f>
        <v>4404927.31</v>
      </c>
      <c r="D127" s="221">
        <f t="shared" si="6"/>
        <v>59.135659395620685</v>
      </c>
      <c r="E127" s="222">
        <f t="shared" si="5"/>
        <v>-3043923.95</v>
      </c>
    </row>
    <row r="128" spans="1:5" ht="25.5" customHeight="1">
      <c r="A128" s="16" t="s">
        <v>285</v>
      </c>
      <c r="B128" s="224">
        <f>Лист7!B102</f>
        <v>130000</v>
      </c>
      <c r="C128" s="224">
        <f>Лист7!C102</f>
        <v>91000</v>
      </c>
      <c r="D128" s="221">
        <f>IF(B128=0,"   ",C128/B128*100)</f>
        <v>70</v>
      </c>
      <c r="E128" s="222">
        <f>C128-B128</f>
        <v>-39000</v>
      </c>
    </row>
    <row r="129" spans="1:5" ht="45">
      <c r="A129" s="223" t="s">
        <v>172</v>
      </c>
      <c r="B129" s="224">
        <f>Лист1!B95+Лист2!B78+Лист3!B71+Лист4!B72+Лист5!B72+Лист6!B72+Лист8!B71+Лист10!B71+Лист9!B77</f>
        <v>140000</v>
      </c>
      <c r="C129" s="224">
        <f>Лист1!C95+Лист2!C78+Лист3!C71+Лист4!C72+Лист5!C72+Лист6!C72+Лист8!C71+Лист10!C71+Лист9!C77</f>
        <v>0</v>
      </c>
      <c r="D129" s="221">
        <f t="shared" si="6"/>
        <v>0</v>
      </c>
      <c r="E129" s="222">
        <f t="shared" si="5"/>
        <v>-140000</v>
      </c>
    </row>
    <row r="130" spans="1:5" ht="15">
      <c r="A130" s="223" t="s">
        <v>73</v>
      </c>
      <c r="B130" s="224">
        <f>Лист7!B103</f>
        <v>250000</v>
      </c>
      <c r="C130" s="224">
        <f>Лист7!C103</f>
        <v>180000</v>
      </c>
      <c r="D130" s="221">
        <f t="shared" si="6"/>
        <v>72</v>
      </c>
      <c r="E130" s="222">
        <f t="shared" si="5"/>
        <v>-70000</v>
      </c>
    </row>
    <row r="131" spans="1:5" ht="15">
      <c r="A131" s="223" t="s">
        <v>74</v>
      </c>
      <c r="B131" s="224">
        <f>Лист7!B104</f>
        <v>993900</v>
      </c>
      <c r="C131" s="224">
        <f>Лист7!C104</f>
        <v>109800.49</v>
      </c>
      <c r="D131" s="221">
        <f t="shared" si="6"/>
        <v>11.0474383740819</v>
      </c>
      <c r="E131" s="222">
        <f t="shared" si="5"/>
        <v>-884099.51</v>
      </c>
    </row>
    <row r="132" spans="1:5" ht="15">
      <c r="A132" s="223" t="s">
        <v>75</v>
      </c>
      <c r="B132" s="224">
        <f>Лист1!B96+Лист3!B70+Лист4!B67+Лист5!B71+Лист7!B105+Лист8!B72+Лист9!B78+Лист10!B72+Лист6!B70+Лист2!B83</f>
        <v>6495022.4</v>
      </c>
      <c r="C132" s="224">
        <f>Лист1!C96+Лист3!C70+Лист4!C67+Лист5!C71+Лист7!C105+Лист8!C72+Лист9!C78+Лист10!C72+Лист6!C70+Лист2!C83</f>
        <v>5180152.93</v>
      </c>
      <c r="D132" s="221">
        <f t="shared" si="6"/>
        <v>79.7557361772917</v>
      </c>
      <c r="E132" s="222">
        <f t="shared" si="5"/>
        <v>-1314869.4700000007</v>
      </c>
    </row>
    <row r="133" spans="1:5" ht="30">
      <c r="A133" s="237" t="s">
        <v>265</v>
      </c>
      <c r="B133" s="224">
        <f>SUM(B134:B137)</f>
        <v>851746</v>
      </c>
      <c r="C133" s="224">
        <f>SUM(C134:C137)</f>
        <v>836410</v>
      </c>
      <c r="D133" s="221">
        <f>IF(B133=0,"   ",C133/B133*100)</f>
        <v>98.1994632202558</v>
      </c>
      <c r="E133" s="222">
        <f>C133-B133</f>
        <v>-15336</v>
      </c>
    </row>
    <row r="134" spans="1:5" ht="45">
      <c r="A134" s="237" t="s">
        <v>268</v>
      </c>
      <c r="B134" s="224">
        <f>Лист8!B74+Лист4!B69</f>
        <v>501846</v>
      </c>
      <c r="C134" s="224">
        <f>Лист8!C74+Лист4!C69</f>
        <v>501846</v>
      </c>
      <c r="D134" s="221">
        <f t="shared" si="6"/>
        <v>100</v>
      </c>
      <c r="E134" s="222">
        <f t="shared" si="5"/>
        <v>0</v>
      </c>
    </row>
    <row r="135" spans="1:5" ht="45">
      <c r="A135" s="237" t="s">
        <v>280</v>
      </c>
      <c r="B135" s="224">
        <v>0</v>
      </c>
      <c r="C135" s="224">
        <v>0</v>
      </c>
      <c r="D135" s="221" t="str">
        <f t="shared" si="6"/>
        <v>   </v>
      </c>
      <c r="E135" s="222">
        <f t="shared" si="5"/>
        <v>0</v>
      </c>
    </row>
    <row r="136" spans="1:5" ht="45">
      <c r="A136" s="237" t="s">
        <v>281</v>
      </c>
      <c r="B136" s="224">
        <f>Лист4!B70+Лист8!B75</f>
        <v>209900</v>
      </c>
      <c r="C136" s="224">
        <f>Лист4!C70+Лист8!C75</f>
        <v>194564</v>
      </c>
      <c r="D136" s="221">
        <f t="shared" si="6"/>
        <v>92.69366364935684</v>
      </c>
      <c r="E136" s="222">
        <f t="shared" si="5"/>
        <v>-15336</v>
      </c>
    </row>
    <row r="137" spans="1:5" ht="45">
      <c r="A137" s="237" t="s">
        <v>282</v>
      </c>
      <c r="B137" s="224">
        <f>Лист4!B71+Лист8!B76</f>
        <v>140000</v>
      </c>
      <c r="C137" s="224">
        <f>Лист4!C71+Лист8!C76</f>
        <v>140000</v>
      </c>
      <c r="D137" s="221">
        <f t="shared" si="6"/>
        <v>100</v>
      </c>
      <c r="E137" s="222">
        <f t="shared" si="5"/>
        <v>0</v>
      </c>
    </row>
    <row r="138" spans="1:5" ht="30.75" customHeight="1">
      <c r="A138" s="223" t="s">
        <v>131</v>
      </c>
      <c r="B138" s="209">
        <f>Лист10!B73+Лист7!B106+Лист2!B84+Лист6!B71+Лист1!B98+Лист3!B72+Лист5!B73+Лист8!B77+Лист9!B79</f>
        <v>139600</v>
      </c>
      <c r="C138" s="209">
        <f>Лист10!C73+Лист7!C106+Лист2!C84+Лист6!C71+Лист1!C98+Лист3!C72+Лист5!C73+Лист8!C77+Лист9!C79</f>
        <v>126823.16</v>
      </c>
      <c r="D138" s="221">
        <f t="shared" si="6"/>
        <v>90.84753581661892</v>
      </c>
      <c r="E138" s="222">
        <f t="shared" si="5"/>
        <v>-12776.839999999997</v>
      </c>
    </row>
    <row r="139" spans="1:5" ht="33.75" customHeight="1">
      <c r="A139" s="237" t="s">
        <v>213</v>
      </c>
      <c r="B139" s="213">
        <f>B140+B142+B141</f>
        <v>6609945.18</v>
      </c>
      <c r="C139" s="213">
        <f>C140+C142+C141</f>
        <v>6488846.97</v>
      </c>
      <c r="D139" s="210">
        <f>IF(B139=0,"   ",C139/B139)</f>
        <v>0.9816793926874897</v>
      </c>
      <c r="E139" s="211">
        <f t="shared" si="5"/>
        <v>-121098.20999999996</v>
      </c>
    </row>
    <row r="140" spans="1:5" ht="15">
      <c r="A140" s="237" t="s">
        <v>210</v>
      </c>
      <c r="B140" s="213">
        <f>Лист7!B108</f>
        <v>6209299.06</v>
      </c>
      <c r="C140" s="213">
        <f>Лист7!C108</f>
        <v>6096521.5</v>
      </c>
      <c r="D140" s="210">
        <f>IF(B140=0,"   ",C140/B140)</f>
        <v>0.9818373122456757</v>
      </c>
      <c r="E140" s="211">
        <f t="shared" si="5"/>
        <v>-112777.55999999959</v>
      </c>
    </row>
    <row r="141" spans="1:5" ht="15">
      <c r="A141" s="237" t="s">
        <v>211</v>
      </c>
      <c r="B141" s="213">
        <f>Лист7!B109</f>
        <v>198169.12</v>
      </c>
      <c r="C141" s="213">
        <f>Лист7!C109</f>
        <v>194569.12</v>
      </c>
      <c r="D141" s="210">
        <f>IF(B141=0,"   ",C141/B141)</f>
        <v>0.9818336984087127</v>
      </c>
      <c r="E141" s="211">
        <f t="shared" si="5"/>
        <v>-3600</v>
      </c>
    </row>
    <row r="142" spans="1:5" ht="15">
      <c r="A142" s="237" t="s">
        <v>241</v>
      </c>
      <c r="B142" s="213">
        <f>Лист7!B110</f>
        <v>202477</v>
      </c>
      <c r="C142" s="213">
        <f>Лист7!C110</f>
        <v>197756.35</v>
      </c>
      <c r="D142" s="210">
        <f>IF(B142=0,"   ",C142/B142)</f>
        <v>0.9766855000814908</v>
      </c>
      <c r="E142" s="211">
        <f t="shared" si="5"/>
        <v>-4720.649999999994</v>
      </c>
    </row>
    <row r="143" spans="1:5" ht="30">
      <c r="A143" s="237" t="s">
        <v>238</v>
      </c>
      <c r="B143" s="213">
        <f>Лист7!B111</f>
        <v>0</v>
      </c>
      <c r="C143" s="213">
        <f>Лист7!C111</f>
        <v>0</v>
      </c>
      <c r="D143" s="210" t="str">
        <f>IF(B143=0,"   ",C143/B143)</f>
        <v>   </v>
      </c>
      <c r="E143" s="211">
        <f t="shared" si="5"/>
        <v>0</v>
      </c>
    </row>
    <row r="144" spans="1:5" ht="15">
      <c r="A144" s="223" t="s">
        <v>17</v>
      </c>
      <c r="B144" s="224">
        <f>Лист1!B99+Лист2!B85+Лист3!B73+Лист4!B73+Лист5!B74+Лист6!B73+Лист7!B112+Лист8!B78+Лист9!B80+Лист10!B74</f>
        <v>122000</v>
      </c>
      <c r="C144" s="224">
        <f>Лист1!C99+Лист2!C85+Лист3!C73+Лист4!C73+Лист5!C74+Лист6!C73+Лист7!C112+Лист8!C78+Лист9!C80+Лист10!C74</f>
        <v>32000</v>
      </c>
      <c r="D144" s="221">
        <f t="shared" si="6"/>
        <v>26.229508196721312</v>
      </c>
      <c r="E144" s="222">
        <f t="shared" si="5"/>
        <v>-90000</v>
      </c>
    </row>
    <row r="145" spans="1:5" ht="30">
      <c r="A145" s="223" t="s">
        <v>41</v>
      </c>
      <c r="B145" s="213">
        <f>SUM(B146,)</f>
        <v>15852600</v>
      </c>
      <c r="C145" s="213">
        <f>C146</f>
        <v>11685784.030000001</v>
      </c>
      <c r="D145" s="221">
        <f t="shared" si="6"/>
        <v>73.71525194605302</v>
      </c>
      <c r="E145" s="222">
        <f t="shared" si="5"/>
        <v>-4166815.969999999</v>
      </c>
    </row>
    <row r="146" spans="1:5" ht="15">
      <c r="A146" s="223" t="s">
        <v>42</v>
      </c>
      <c r="B146" s="224">
        <f>Лист1!B101+Лист2!B87+Лист3!B75+Лист4!B75+Лист5!B76+Лист6!B75+Лист7!B114+Лист8!B80+Лист9!B82+Лист10!B76</f>
        <v>15852600</v>
      </c>
      <c r="C146" s="224">
        <f>Лист1!C101+Лист2!C87+Лист3!C75+Лист4!C75+Лист5!C76+Лист6!C75+Лист7!C114+Лист8!C80+Лист9!C82+Лист10!C76</f>
        <v>11685784.030000001</v>
      </c>
      <c r="D146" s="221">
        <f t="shared" si="6"/>
        <v>73.71525194605302</v>
      </c>
      <c r="E146" s="222">
        <f t="shared" si="5"/>
        <v>-4166815.969999999</v>
      </c>
    </row>
    <row r="147" spans="1:5" ht="32.25" customHeight="1">
      <c r="A147" s="223" t="s">
        <v>151</v>
      </c>
      <c r="B147" s="224">
        <f>Лист1!B101+Лист2!B88+Лист3!B76+Лист4!B75+Лист5!B76+Лист6!B75+Лист7!B115+Лист8!B80+Лист9!B82+Лист10!B76</f>
        <v>12661900</v>
      </c>
      <c r="C147" s="224">
        <f>Лист1!C101+Лист2!C88+Лист3!C75+Лист4!C75+Лист5!C76+Лист6!C75+Лист7!C115+Лист8!C80+Лист9!C82+Лист10!C76</f>
        <v>10432490.55</v>
      </c>
      <c r="D147" s="221">
        <f t="shared" si="6"/>
        <v>82.39277320149425</v>
      </c>
      <c r="E147" s="222">
        <f t="shared" si="5"/>
        <v>-2229409.4499999993</v>
      </c>
    </row>
    <row r="148" spans="1:5" ht="16.5" customHeight="1">
      <c r="A148" s="16" t="s">
        <v>292</v>
      </c>
      <c r="B148" s="224">
        <f>Лист3!B77</f>
        <v>341400</v>
      </c>
      <c r="C148" s="224">
        <f>Лист3!C77</f>
        <v>0</v>
      </c>
      <c r="D148" s="221">
        <f>IF(B148=0,"   ",C148/B148*100)</f>
        <v>0</v>
      </c>
      <c r="E148" s="222">
        <f>C148-B148</f>
        <v>-341400</v>
      </c>
    </row>
    <row r="149" spans="1:5" ht="25.5" customHeight="1">
      <c r="A149" s="223" t="s">
        <v>262</v>
      </c>
      <c r="B149" s="224">
        <f>Лист3!B78</f>
        <v>400000</v>
      </c>
      <c r="C149" s="224">
        <f>Лист2!C89</f>
        <v>0</v>
      </c>
      <c r="D149" s="221">
        <f t="shared" si="6"/>
        <v>0</v>
      </c>
      <c r="E149" s="222">
        <f t="shared" si="5"/>
        <v>-400000</v>
      </c>
    </row>
    <row r="150" spans="1:5" ht="21.75" customHeight="1">
      <c r="A150" s="223" t="s">
        <v>239</v>
      </c>
      <c r="B150" s="224">
        <f>Лист7!B116</f>
        <v>1238800</v>
      </c>
      <c r="C150" s="224">
        <f>Лист7!C116</f>
        <v>215300</v>
      </c>
      <c r="D150" s="221">
        <f t="shared" si="6"/>
        <v>17.379722311914755</v>
      </c>
      <c r="E150" s="222">
        <f t="shared" si="5"/>
        <v>-1023500</v>
      </c>
    </row>
    <row r="151" spans="1:5" ht="25.5" customHeight="1">
      <c r="A151" s="223" t="s">
        <v>152</v>
      </c>
      <c r="B151" s="224">
        <f>Лист7!B117</f>
        <v>1157000</v>
      </c>
      <c r="C151" s="224">
        <f>Лист7!C117</f>
        <v>984493.48</v>
      </c>
      <c r="D151" s="221">
        <f t="shared" si="6"/>
        <v>85.09018841832324</v>
      </c>
      <c r="E151" s="222">
        <f t="shared" si="5"/>
        <v>-172506.52000000002</v>
      </c>
    </row>
    <row r="152" spans="1:5" ht="33.75" customHeight="1">
      <c r="A152" s="223" t="s">
        <v>240</v>
      </c>
      <c r="B152" s="224">
        <f>Лист7!B118</f>
        <v>10700</v>
      </c>
      <c r="C152" s="224">
        <f>Лист7!C118</f>
        <v>10700</v>
      </c>
      <c r="D152" s="221">
        <f t="shared" si="6"/>
        <v>100</v>
      </c>
      <c r="E152" s="222">
        <f t="shared" si="5"/>
        <v>0</v>
      </c>
    </row>
    <row r="153" spans="1:5" ht="30.75" customHeight="1">
      <c r="A153" s="223" t="s">
        <v>221</v>
      </c>
      <c r="B153" s="224">
        <f>Лист7!B119</f>
        <v>42800</v>
      </c>
      <c r="C153" s="224">
        <f>Лист7!C119</f>
        <v>42800</v>
      </c>
      <c r="D153" s="221">
        <f>IF(B153=0,"   ",C153/B153*100)</f>
        <v>100</v>
      </c>
      <c r="E153" s="222">
        <f aca="true" t="shared" si="9" ref="E153:E158">C153-B153</f>
        <v>0</v>
      </c>
    </row>
    <row r="154" spans="1:5" ht="15">
      <c r="A154" s="223" t="s">
        <v>125</v>
      </c>
      <c r="B154" s="224">
        <f>SUM(B155,)</f>
        <v>134000</v>
      </c>
      <c r="C154" s="224">
        <f>SUM(C155,)</f>
        <v>78985</v>
      </c>
      <c r="D154" s="221">
        <f t="shared" si="6"/>
        <v>58.94402985074627</v>
      </c>
      <c r="E154" s="222">
        <f t="shared" si="9"/>
        <v>-55015</v>
      </c>
    </row>
    <row r="155" spans="1:5" ht="15">
      <c r="A155" s="223" t="s">
        <v>126</v>
      </c>
      <c r="B155" s="224">
        <f>Лист1!B103+Лист2!B91+Лист3!B80+Лист4!B77+Лист5!B78+Лист6!B77+Лист7!B121+Лист8!B82+Лист9!B84+Лист10!B78</f>
        <v>134000</v>
      </c>
      <c r="C155" s="224">
        <f>Лист1!C103+Лист2!C91+Лист3!C80+Лист4!C77+Лист5!C78+Лист6!C77+Лист7!C121+Лист8!C82+Лист9!C84+Лист10!C78</f>
        <v>78985</v>
      </c>
      <c r="D155" s="221">
        <f t="shared" si="6"/>
        <v>58.94402985074627</v>
      </c>
      <c r="E155" s="222">
        <f t="shared" si="9"/>
        <v>-55015</v>
      </c>
    </row>
    <row r="156" spans="1:5" ht="30">
      <c r="A156" s="223" t="s">
        <v>153</v>
      </c>
      <c r="B156" s="224">
        <f>SUM(B157,)</f>
        <v>50000</v>
      </c>
      <c r="C156" s="224">
        <f>SUM(C157,)</f>
        <v>0</v>
      </c>
      <c r="D156" s="221">
        <f>IF(B156=0,"   ",C156/B156*100)</f>
        <v>0</v>
      </c>
      <c r="E156" s="222">
        <f t="shared" si="9"/>
        <v>-50000</v>
      </c>
    </row>
    <row r="157" spans="1:5" ht="30">
      <c r="A157" s="223" t="s">
        <v>154</v>
      </c>
      <c r="B157" s="224">
        <f>Лист7!B122</f>
        <v>50000</v>
      </c>
      <c r="C157" s="224">
        <f>Лист7!C122</f>
        <v>0</v>
      </c>
      <c r="D157" s="221">
        <f>IF(B157=0,"   ",C157/B157*100)</f>
        <v>0</v>
      </c>
      <c r="E157" s="222">
        <f t="shared" si="9"/>
        <v>-50000</v>
      </c>
    </row>
    <row r="158" spans="1:6" ht="25.5" customHeight="1">
      <c r="A158" s="225" t="s">
        <v>15</v>
      </c>
      <c r="B158" s="226">
        <f>B65+B75+B77+B82+B110+B144+B145+B156+B154</f>
        <v>72917635.35</v>
      </c>
      <c r="C158" s="226">
        <f>C65+C75+C77+C82+C110+C144+C145+C156+C154</f>
        <v>52434353.17</v>
      </c>
      <c r="D158" s="227">
        <f t="shared" si="6"/>
        <v>71.90901476483495</v>
      </c>
      <c r="E158" s="228">
        <f t="shared" si="9"/>
        <v>-20483282.179999992</v>
      </c>
      <c r="F158" s="217"/>
    </row>
    <row r="159" spans="1:5" s="69" customFormat="1" ht="23.25" customHeight="1">
      <c r="A159" s="219"/>
      <c r="B159" s="219"/>
      <c r="C159" s="250"/>
      <c r="D159" s="250"/>
      <c r="E159" s="250"/>
    </row>
    <row r="160" spans="1:5" s="69" customFormat="1" ht="12" customHeight="1">
      <c r="A160" s="92"/>
      <c r="B160" s="92"/>
      <c r="C160" s="251"/>
      <c r="D160" s="251"/>
      <c r="E160" s="251"/>
    </row>
    <row r="161" spans="1:5" ht="12.75">
      <c r="A161" s="7"/>
      <c r="B161" s="7"/>
      <c r="C161" s="54"/>
      <c r="D161" s="7"/>
      <c r="E161" s="55"/>
    </row>
    <row r="162" spans="1:5" ht="12.75">
      <c r="A162" s="7"/>
      <c r="B162" s="7"/>
      <c r="C162" s="54"/>
      <c r="D162" s="7"/>
      <c r="E162" s="55"/>
    </row>
    <row r="163" spans="1:5" ht="12.75">
      <c r="A163" s="7"/>
      <c r="B163" s="7"/>
      <c r="C163" s="54"/>
      <c r="D163" s="7"/>
      <c r="E163" s="55"/>
    </row>
    <row r="164" spans="1:5" ht="12.75">
      <c r="A164" s="7"/>
      <c r="B164" s="7"/>
      <c r="C164" s="54"/>
      <c r="D164" s="7"/>
      <c r="E164" s="55"/>
    </row>
  </sheetData>
  <sheetProtection/>
  <mergeCells count="3">
    <mergeCell ref="A1:E1"/>
    <mergeCell ref="C159:E159"/>
    <mergeCell ref="C160:E160"/>
  </mergeCells>
  <printOptions/>
  <pageMargins left="0.7874015748031497" right="0.7874015748031497" top="0.4724409448818898" bottom="0.31496062992125984" header="0.46" footer="0.3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75">
      <selection activeCell="A95" sqref="A95"/>
    </sheetView>
  </sheetViews>
  <sheetFormatPr defaultColWidth="9.00390625" defaultRowHeight="12.75"/>
  <cols>
    <col min="1" max="1" width="112.125" style="0" customWidth="1"/>
    <col min="2" max="2" width="15.125" style="0" customWidth="1"/>
    <col min="3" max="3" width="16.875" style="0" customWidth="1"/>
    <col min="4" max="4" width="20.875" style="0" customWidth="1"/>
    <col min="5" max="5" width="16.00390625" style="0" customWidth="1"/>
  </cols>
  <sheetData>
    <row r="1" spans="1:5" ht="18">
      <c r="A1" s="249" t="s">
        <v>312</v>
      </c>
      <c r="B1" s="249"/>
      <c r="C1" s="249"/>
      <c r="D1" s="249"/>
      <c r="E1" s="24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243</v>
      </c>
      <c r="C3" s="32" t="s">
        <v>299</v>
      </c>
      <c r="D3" s="19" t="s">
        <v>246</v>
      </c>
      <c r="E3" s="36" t="s">
        <v>245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4">
        <f>SUM(B7)</f>
        <v>15600</v>
      </c>
      <c r="C6" s="24">
        <f>SUM(C7)</f>
        <v>21357.18</v>
      </c>
      <c r="D6" s="26">
        <f aca="true" t="shared" si="0" ref="D6:D91">IF(B6=0,"   ",C6/B6*100)</f>
        <v>136.905</v>
      </c>
      <c r="E6" s="45">
        <f aca="true" t="shared" si="1" ref="E6:E91">C6-B6</f>
        <v>5757.18</v>
      </c>
    </row>
    <row r="7" spans="1:5" ht="16.5" customHeight="1">
      <c r="A7" s="16" t="s">
        <v>44</v>
      </c>
      <c r="B7" s="25">
        <v>15600</v>
      </c>
      <c r="C7" s="27">
        <v>21357.18</v>
      </c>
      <c r="D7" s="26">
        <f t="shared" si="0"/>
        <v>136.905</v>
      </c>
      <c r="E7" s="45">
        <f t="shared" si="1"/>
        <v>5757.18</v>
      </c>
    </row>
    <row r="8" spans="1:5" ht="12.75" customHeight="1">
      <c r="A8" s="74" t="s">
        <v>144</v>
      </c>
      <c r="B8" s="24">
        <f>SUM(B9)</f>
        <v>623400</v>
      </c>
      <c r="C8" s="24">
        <f>SUM(C9)</f>
        <v>544799.46</v>
      </c>
      <c r="D8" s="26">
        <f t="shared" si="0"/>
        <v>87.39163618864292</v>
      </c>
      <c r="E8" s="45">
        <f t="shared" si="1"/>
        <v>-78600.54000000004</v>
      </c>
    </row>
    <row r="9" spans="1:5" ht="18.75" customHeight="1">
      <c r="A9" s="43" t="s">
        <v>145</v>
      </c>
      <c r="B9" s="25">
        <v>623400</v>
      </c>
      <c r="C9" s="27">
        <v>544799.46</v>
      </c>
      <c r="D9" s="26">
        <f t="shared" si="0"/>
        <v>87.39163618864292</v>
      </c>
      <c r="E9" s="45">
        <f t="shared" si="1"/>
        <v>-78600.54000000004</v>
      </c>
    </row>
    <row r="10" spans="1:5" ht="16.5" customHeight="1">
      <c r="A10" s="16" t="s">
        <v>7</v>
      </c>
      <c r="B10" s="25">
        <f>SUM(B11:B11)</f>
        <v>44900</v>
      </c>
      <c r="C10" s="25">
        <f>SUM(C11:C11)</f>
        <v>18093.9</v>
      </c>
      <c r="D10" s="26">
        <f t="shared" si="0"/>
        <v>40.29821826280624</v>
      </c>
      <c r="E10" s="45">
        <f t="shared" si="1"/>
        <v>-26806.1</v>
      </c>
    </row>
    <row r="11" spans="1:5" ht="14.25" customHeight="1">
      <c r="A11" s="16" t="s">
        <v>26</v>
      </c>
      <c r="B11" s="25">
        <v>44900</v>
      </c>
      <c r="C11" s="27">
        <v>18093.9</v>
      </c>
      <c r="D11" s="26">
        <f t="shared" si="0"/>
        <v>40.29821826280624</v>
      </c>
      <c r="E11" s="45">
        <f t="shared" si="1"/>
        <v>-26806.1</v>
      </c>
    </row>
    <row r="12" spans="1:5" ht="14.25" customHeight="1">
      <c r="A12" s="16" t="s">
        <v>9</v>
      </c>
      <c r="B12" s="25">
        <f>SUM(B13:B14)</f>
        <v>182000</v>
      </c>
      <c r="C12" s="25">
        <f>SUM(C13:C14)</f>
        <v>117065.95000000001</v>
      </c>
      <c r="D12" s="26">
        <f t="shared" si="0"/>
        <v>64.32195054945056</v>
      </c>
      <c r="E12" s="45">
        <f t="shared" si="1"/>
        <v>-64934.04999999999</v>
      </c>
    </row>
    <row r="13" spans="1:5" ht="12.75" customHeight="1">
      <c r="A13" s="16" t="s">
        <v>27</v>
      </c>
      <c r="B13" s="25">
        <v>27000</v>
      </c>
      <c r="C13" s="27">
        <v>27891.32</v>
      </c>
      <c r="D13" s="26">
        <f t="shared" si="0"/>
        <v>103.30118518518519</v>
      </c>
      <c r="E13" s="45">
        <f t="shared" si="1"/>
        <v>891.3199999999997</v>
      </c>
    </row>
    <row r="14" spans="1:5" ht="12.75">
      <c r="A14" s="43" t="s">
        <v>173</v>
      </c>
      <c r="B14" s="31">
        <f>SUM(B15:B16)</f>
        <v>155000</v>
      </c>
      <c r="C14" s="31">
        <f>SUM(C15:C16)</f>
        <v>89174.63</v>
      </c>
      <c r="D14" s="26">
        <f t="shared" si="0"/>
        <v>57.53201935483872</v>
      </c>
      <c r="E14" s="45">
        <f t="shared" si="1"/>
        <v>-65825.37</v>
      </c>
    </row>
    <row r="15" spans="1:5" ht="12.75">
      <c r="A15" s="43" t="s">
        <v>174</v>
      </c>
      <c r="B15" s="31">
        <v>5400</v>
      </c>
      <c r="C15" s="79">
        <v>4568.16</v>
      </c>
      <c r="D15" s="26">
        <f t="shared" si="0"/>
        <v>84.59555555555556</v>
      </c>
      <c r="E15" s="45">
        <f t="shared" si="1"/>
        <v>-831.8400000000001</v>
      </c>
    </row>
    <row r="16" spans="1:5" ht="12.75">
      <c r="A16" s="43" t="s">
        <v>175</v>
      </c>
      <c r="B16" s="31">
        <v>149600</v>
      </c>
      <c r="C16" s="79">
        <v>84606.47</v>
      </c>
      <c r="D16" s="26">
        <f t="shared" si="0"/>
        <v>56.55512700534759</v>
      </c>
      <c r="E16" s="45">
        <f t="shared" si="1"/>
        <v>-64993.53</v>
      </c>
    </row>
    <row r="17" spans="1:5" ht="12.75">
      <c r="A17" s="43" t="s">
        <v>252</v>
      </c>
      <c r="B17" s="31">
        <v>0</v>
      </c>
      <c r="C17" s="79">
        <v>300</v>
      </c>
      <c r="D17" s="26" t="str">
        <f t="shared" si="0"/>
        <v>   </v>
      </c>
      <c r="E17" s="45">
        <f t="shared" si="1"/>
        <v>300</v>
      </c>
    </row>
    <row r="18" spans="1:5" ht="18" customHeight="1">
      <c r="A18" s="16" t="s">
        <v>88</v>
      </c>
      <c r="B18" s="25">
        <v>0</v>
      </c>
      <c r="C18" s="27">
        <v>0</v>
      </c>
      <c r="D18" s="26" t="str">
        <f t="shared" si="0"/>
        <v>   </v>
      </c>
      <c r="E18" s="45">
        <f t="shared" si="1"/>
        <v>0</v>
      </c>
    </row>
    <row r="19" spans="1:5" ht="16.5" customHeight="1">
      <c r="A19" s="16" t="s">
        <v>78</v>
      </c>
      <c r="B19" s="24">
        <f>B21+B20</f>
        <v>0</v>
      </c>
      <c r="C19" s="24">
        <f>C21+C20</f>
        <v>0</v>
      </c>
      <c r="D19" s="26" t="str">
        <f t="shared" si="0"/>
        <v>   </v>
      </c>
      <c r="E19" s="45">
        <f t="shared" si="1"/>
        <v>0</v>
      </c>
    </row>
    <row r="20" spans="1:5" ht="16.5" customHeight="1">
      <c r="A20" s="174" t="s">
        <v>216</v>
      </c>
      <c r="B20" s="24">
        <v>0</v>
      </c>
      <c r="C20" s="24">
        <v>0</v>
      </c>
      <c r="D20" s="26" t="str">
        <f>IF(B20=0,"   ",C20/B20*100)</f>
        <v>   </v>
      </c>
      <c r="E20" s="45">
        <f>C20-B20</f>
        <v>0</v>
      </c>
    </row>
    <row r="21" spans="1:5" ht="22.5" customHeight="1">
      <c r="A21" s="16" t="s">
        <v>79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29.25" customHeight="1">
      <c r="A22" s="16" t="s">
        <v>28</v>
      </c>
      <c r="B22" s="25">
        <f>SUM(B23:B24)</f>
        <v>120900</v>
      </c>
      <c r="C22" s="24">
        <f>SUM(C23:C24)</f>
        <v>145482.94</v>
      </c>
      <c r="D22" s="26">
        <f t="shared" si="0"/>
        <v>120.33328370554177</v>
      </c>
      <c r="E22" s="45">
        <f t="shared" si="1"/>
        <v>24582.940000000002</v>
      </c>
    </row>
    <row r="23" spans="1:5" ht="15.75" customHeight="1">
      <c r="A23" s="43" t="s">
        <v>163</v>
      </c>
      <c r="B23" s="25">
        <v>110000</v>
      </c>
      <c r="C23" s="27">
        <v>145482.94</v>
      </c>
      <c r="D23" s="26">
        <f t="shared" si="0"/>
        <v>132.2572181818182</v>
      </c>
      <c r="E23" s="45">
        <f t="shared" si="1"/>
        <v>35482.94</v>
      </c>
    </row>
    <row r="24" spans="1:5" ht="15.75" customHeight="1">
      <c r="A24" s="16" t="s">
        <v>30</v>
      </c>
      <c r="B24" s="25">
        <v>10900</v>
      </c>
      <c r="C24" s="27">
        <v>0</v>
      </c>
      <c r="D24" s="26">
        <f t="shared" si="0"/>
        <v>0</v>
      </c>
      <c r="E24" s="45">
        <f t="shared" si="1"/>
        <v>-10900</v>
      </c>
    </row>
    <row r="25" spans="1:5" ht="18" customHeight="1">
      <c r="A25" s="16" t="s">
        <v>201</v>
      </c>
      <c r="B25" s="24">
        <f>SUM(B26)</f>
        <v>0</v>
      </c>
      <c r="C25" s="24">
        <f>SUM(C26)</f>
        <v>0</v>
      </c>
      <c r="D25" s="26" t="str">
        <f t="shared" si="0"/>
        <v>   </v>
      </c>
      <c r="E25" s="45">
        <f t="shared" si="1"/>
        <v>0</v>
      </c>
    </row>
    <row r="26" spans="1:5" ht="16.5" customHeight="1">
      <c r="A26" s="16" t="s">
        <v>202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7.25" customHeight="1">
      <c r="A27" s="16" t="s">
        <v>31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6.5" customHeight="1">
      <c r="A28" s="16" t="s">
        <v>32</v>
      </c>
      <c r="B28" s="25">
        <f>SUM(B29:B30)</f>
        <v>0</v>
      </c>
      <c r="C28" s="25">
        <f>SUM(C29:C30)</f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106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s="9" customFormat="1" ht="15" customHeight="1">
      <c r="A30" s="16" t="s">
        <v>109</v>
      </c>
      <c r="B30" s="39">
        <v>0</v>
      </c>
      <c r="C30" s="40">
        <v>0</v>
      </c>
      <c r="D30" s="26" t="str">
        <f t="shared" si="0"/>
        <v>   </v>
      </c>
      <c r="E30" s="42">
        <f>C30-B30</f>
        <v>0</v>
      </c>
    </row>
    <row r="31" spans="1:5" ht="19.5" customHeight="1">
      <c r="A31" s="192" t="s">
        <v>10</v>
      </c>
      <c r="B31" s="46">
        <f>SUM(B6,B8,B10,B12,B17,B18,B19,B22,B27,B28,B25)</f>
        <v>986800</v>
      </c>
      <c r="C31" s="46">
        <f>SUM(C6,C8,C10,C12,C17,C18,C19,C22,C27,C28,C25)</f>
        <v>847099.4299999999</v>
      </c>
      <c r="D31" s="26">
        <f t="shared" si="0"/>
        <v>85.84307154438588</v>
      </c>
      <c r="E31" s="45">
        <f t="shared" si="1"/>
        <v>-139700.57000000007</v>
      </c>
    </row>
    <row r="32" spans="1:5" ht="19.5" customHeight="1">
      <c r="A32" s="200" t="s">
        <v>147</v>
      </c>
      <c r="B32" s="214">
        <f>SUM(B33:B36,B39:B41,B44)</f>
        <v>2171595</v>
      </c>
      <c r="C32" s="214">
        <f>SUM(C33:C36,C39:C41,C44)</f>
        <v>1495693.25</v>
      </c>
      <c r="D32" s="157">
        <f t="shared" si="0"/>
        <v>68.87533126572865</v>
      </c>
      <c r="E32" s="158">
        <f t="shared" si="1"/>
        <v>-675901.75</v>
      </c>
    </row>
    <row r="33" spans="1:5" ht="18.75" customHeight="1">
      <c r="A33" s="17" t="s">
        <v>34</v>
      </c>
      <c r="B33" s="24">
        <v>1089300</v>
      </c>
      <c r="C33" s="24">
        <v>906200</v>
      </c>
      <c r="D33" s="26">
        <f t="shared" si="0"/>
        <v>83.19104011750666</v>
      </c>
      <c r="E33" s="45">
        <f t="shared" si="1"/>
        <v>-183100</v>
      </c>
    </row>
    <row r="34" spans="1:5" ht="15.75" customHeight="1">
      <c r="A34" s="43" t="s">
        <v>155</v>
      </c>
      <c r="B34" s="25">
        <v>0</v>
      </c>
      <c r="C34" s="27">
        <v>0</v>
      </c>
      <c r="D34" s="26" t="str">
        <f t="shared" si="0"/>
        <v>   </v>
      </c>
      <c r="E34" s="45">
        <f t="shared" si="1"/>
        <v>0</v>
      </c>
    </row>
    <row r="35" spans="1:5" ht="35.25" customHeight="1">
      <c r="A35" s="150" t="s">
        <v>51</v>
      </c>
      <c r="B35" s="151">
        <v>71300</v>
      </c>
      <c r="C35" s="151">
        <v>71300</v>
      </c>
      <c r="D35" s="152">
        <f t="shared" si="0"/>
        <v>100</v>
      </c>
      <c r="E35" s="153">
        <f t="shared" si="1"/>
        <v>0</v>
      </c>
    </row>
    <row r="36" spans="1:5" ht="32.25" customHeight="1">
      <c r="A36" s="124" t="s">
        <v>157</v>
      </c>
      <c r="B36" s="151">
        <f>SUM(B37:B38)</f>
        <v>4100</v>
      </c>
      <c r="C36" s="151">
        <f>SUM(C37:C38)</f>
        <v>100</v>
      </c>
      <c r="D36" s="152">
        <f t="shared" si="0"/>
        <v>2.4390243902439024</v>
      </c>
      <c r="E36" s="153">
        <f t="shared" si="1"/>
        <v>-4000</v>
      </c>
    </row>
    <row r="37" spans="1:5" ht="15.75" customHeight="1">
      <c r="A37" s="124" t="s">
        <v>176</v>
      </c>
      <c r="B37" s="151">
        <v>100</v>
      </c>
      <c r="C37" s="151">
        <v>100</v>
      </c>
      <c r="D37" s="152">
        <f>IF(B37=0,"   ",C37/B37*100)</f>
        <v>100</v>
      </c>
      <c r="E37" s="153">
        <f>C37-B37</f>
        <v>0</v>
      </c>
    </row>
    <row r="38" spans="1:5" ht="24.75" customHeight="1">
      <c r="A38" s="124" t="s">
        <v>177</v>
      </c>
      <c r="B38" s="151">
        <v>4000</v>
      </c>
      <c r="C38" s="151">
        <v>0</v>
      </c>
      <c r="D38" s="152">
        <f>IF(B38=0,"   ",C38/B38*100)</f>
        <v>0</v>
      </c>
      <c r="E38" s="153">
        <f>C38-B38</f>
        <v>-4000</v>
      </c>
    </row>
    <row r="39" spans="1:5" ht="26.25" customHeight="1">
      <c r="A39" s="16" t="s">
        <v>104</v>
      </c>
      <c r="B39" s="151">
        <v>0</v>
      </c>
      <c r="C39" s="151">
        <v>0</v>
      </c>
      <c r="D39" s="152" t="str">
        <f t="shared" si="0"/>
        <v>   </v>
      </c>
      <c r="E39" s="153">
        <f t="shared" si="1"/>
        <v>0</v>
      </c>
    </row>
    <row r="40" spans="1:5" ht="18" customHeight="1">
      <c r="A40" s="16" t="s">
        <v>184</v>
      </c>
      <c r="B40" s="151">
        <v>0</v>
      </c>
      <c r="C40" s="151">
        <v>0</v>
      </c>
      <c r="D40" s="152" t="str">
        <f t="shared" si="0"/>
        <v>   </v>
      </c>
      <c r="E40" s="153">
        <f t="shared" si="1"/>
        <v>0</v>
      </c>
    </row>
    <row r="41" spans="1:5" ht="16.5" customHeight="1">
      <c r="A41" s="16" t="s">
        <v>80</v>
      </c>
      <c r="B41" s="25">
        <f>B43+B42</f>
        <v>777095</v>
      </c>
      <c r="C41" s="25">
        <f>C43+C42</f>
        <v>490502</v>
      </c>
      <c r="D41" s="26">
        <f t="shared" si="0"/>
        <v>63.11995315888019</v>
      </c>
      <c r="E41" s="45">
        <f t="shared" si="1"/>
        <v>-286593</v>
      </c>
    </row>
    <row r="42" spans="1:5" ht="15" customHeight="1">
      <c r="A42" s="56" t="s">
        <v>224</v>
      </c>
      <c r="B42" s="25">
        <v>331095</v>
      </c>
      <c r="C42" s="25">
        <v>331095</v>
      </c>
      <c r="D42" s="26">
        <f t="shared" si="0"/>
        <v>100</v>
      </c>
      <c r="E42" s="45">
        <f t="shared" si="1"/>
        <v>0</v>
      </c>
    </row>
    <row r="43" spans="1:5" s="7" customFormat="1" ht="16.5" customHeight="1">
      <c r="A43" s="56" t="s">
        <v>110</v>
      </c>
      <c r="B43" s="57">
        <v>446000</v>
      </c>
      <c r="C43" s="57">
        <v>159407</v>
      </c>
      <c r="D43" s="57">
        <f t="shared" si="0"/>
        <v>35.7414798206278</v>
      </c>
      <c r="E43" s="42">
        <f t="shared" si="1"/>
        <v>-286593</v>
      </c>
    </row>
    <row r="44" spans="1:5" s="7" customFormat="1" ht="19.5" customHeight="1">
      <c r="A44" s="16" t="s">
        <v>255</v>
      </c>
      <c r="B44" s="57">
        <v>229800</v>
      </c>
      <c r="C44" s="57">
        <v>27591.25</v>
      </c>
      <c r="D44" s="57">
        <f>IF(B44=0,"   ",C44/B44*100)</f>
        <v>12.006636205395997</v>
      </c>
      <c r="E44" s="42">
        <f>C44-B44</f>
        <v>-202208.75</v>
      </c>
    </row>
    <row r="45" spans="1:5" ht="21.75" customHeight="1">
      <c r="A45" s="192" t="s">
        <v>11</v>
      </c>
      <c r="B45" s="167">
        <f>B31+B32</f>
        <v>3158395</v>
      </c>
      <c r="C45" s="167">
        <f>C31+C32</f>
        <v>2342792.6799999997</v>
      </c>
      <c r="D45" s="157">
        <f t="shared" si="0"/>
        <v>74.17668404363607</v>
      </c>
      <c r="E45" s="158">
        <f t="shared" si="1"/>
        <v>-815602.3200000003</v>
      </c>
    </row>
    <row r="46" spans="1:5" ht="12.75">
      <c r="A46" s="30"/>
      <c r="B46" s="24"/>
      <c r="C46" s="25"/>
      <c r="D46" s="26" t="str">
        <f t="shared" si="0"/>
        <v>   </v>
      </c>
      <c r="E46" s="45"/>
    </row>
    <row r="47" spans="1:5" ht="13.5" thickBot="1">
      <c r="A47" s="121" t="s">
        <v>12</v>
      </c>
      <c r="B47" s="122"/>
      <c r="C47" s="123"/>
      <c r="D47" s="128" t="str">
        <f t="shared" si="0"/>
        <v>   </v>
      </c>
      <c r="E47" s="129"/>
    </row>
    <row r="48" spans="1:5" ht="13.5" thickBot="1">
      <c r="A48" s="145" t="s">
        <v>35</v>
      </c>
      <c r="B48" s="146">
        <f>SUM(B49,B51+B52)</f>
        <v>1075400</v>
      </c>
      <c r="C48" s="146">
        <f>SUM(C49,C51+C52)</f>
        <v>828515.42</v>
      </c>
      <c r="D48" s="147">
        <f t="shared" si="0"/>
        <v>77.04253487074577</v>
      </c>
      <c r="E48" s="148">
        <f t="shared" si="1"/>
        <v>-246884.57999999996</v>
      </c>
    </row>
    <row r="49" spans="1:5" ht="13.5" thickBot="1">
      <c r="A49" s="133" t="s">
        <v>36</v>
      </c>
      <c r="B49" s="134">
        <v>1064200</v>
      </c>
      <c r="C49" s="146">
        <v>828515.42</v>
      </c>
      <c r="D49" s="135">
        <f t="shared" si="0"/>
        <v>77.85335651193385</v>
      </c>
      <c r="E49" s="136">
        <f t="shared" si="1"/>
        <v>-235684.57999999996</v>
      </c>
    </row>
    <row r="50" spans="1:5" ht="12.75">
      <c r="A50" s="97" t="s">
        <v>121</v>
      </c>
      <c r="B50" s="25">
        <v>722000</v>
      </c>
      <c r="C50" s="28">
        <v>575498.82</v>
      </c>
      <c r="D50" s="26">
        <f t="shared" si="0"/>
        <v>79.70897783933518</v>
      </c>
      <c r="E50" s="45">
        <f t="shared" si="1"/>
        <v>-146501.18000000005</v>
      </c>
    </row>
    <row r="51" spans="1:5" ht="12.75">
      <c r="A51" s="16" t="s">
        <v>96</v>
      </c>
      <c r="B51" s="25">
        <v>500</v>
      </c>
      <c r="C51" s="28">
        <v>0</v>
      </c>
      <c r="D51" s="26">
        <f t="shared" si="0"/>
        <v>0</v>
      </c>
      <c r="E51" s="45">
        <f t="shared" si="1"/>
        <v>-500</v>
      </c>
    </row>
    <row r="52" spans="1:5" ht="12.75">
      <c r="A52" s="120" t="s">
        <v>53</v>
      </c>
      <c r="B52" s="31">
        <f>SUM(B53)</f>
        <v>10700</v>
      </c>
      <c r="C52" s="31">
        <f>SUM(C53)</f>
        <v>0</v>
      </c>
      <c r="D52" s="128">
        <f t="shared" si="0"/>
        <v>0</v>
      </c>
      <c r="E52" s="129">
        <f t="shared" si="1"/>
        <v>-10700</v>
      </c>
    </row>
    <row r="53" spans="1:5" ht="29.25" customHeight="1" thickBot="1">
      <c r="A53" s="120" t="s">
        <v>249</v>
      </c>
      <c r="B53" s="138">
        <v>10700</v>
      </c>
      <c r="C53" s="139">
        <v>0</v>
      </c>
      <c r="D53" s="128">
        <f t="shared" si="0"/>
        <v>0</v>
      </c>
      <c r="E53" s="129">
        <f t="shared" si="1"/>
        <v>-10700</v>
      </c>
    </row>
    <row r="54" spans="1:5" ht="13.5" thickBot="1">
      <c r="A54" s="145" t="s">
        <v>49</v>
      </c>
      <c r="B54" s="205">
        <f>SUM(B55)</f>
        <v>71300</v>
      </c>
      <c r="C54" s="205">
        <f>SUM(C55)</f>
        <v>55435.65</v>
      </c>
      <c r="D54" s="147">
        <f t="shared" si="0"/>
        <v>77.74985974754559</v>
      </c>
      <c r="E54" s="148">
        <f t="shared" si="1"/>
        <v>-15864.349999999999</v>
      </c>
    </row>
    <row r="55" spans="1:5" ht="16.5" customHeight="1" thickBot="1">
      <c r="A55" s="137" t="s">
        <v>108</v>
      </c>
      <c r="B55" s="138">
        <v>71300</v>
      </c>
      <c r="C55" s="139">
        <v>55435.65</v>
      </c>
      <c r="D55" s="140">
        <f t="shared" si="0"/>
        <v>77.74985974754559</v>
      </c>
      <c r="E55" s="141">
        <f t="shared" si="1"/>
        <v>-15864.349999999999</v>
      </c>
    </row>
    <row r="56" spans="1:5" ht="13.5" thickBot="1">
      <c r="A56" s="145" t="s">
        <v>37</v>
      </c>
      <c r="B56" s="146">
        <f>SUM(B57)</f>
        <v>400</v>
      </c>
      <c r="C56" s="205">
        <f>SUM(C57)</f>
        <v>0</v>
      </c>
      <c r="D56" s="147">
        <f t="shared" si="0"/>
        <v>0</v>
      </c>
      <c r="E56" s="148">
        <f t="shared" si="1"/>
        <v>-400</v>
      </c>
    </row>
    <row r="57" spans="1:5" ht="13.5" thickBot="1">
      <c r="A57" s="87" t="s">
        <v>130</v>
      </c>
      <c r="B57" s="138">
        <v>400</v>
      </c>
      <c r="C57" s="139">
        <v>0</v>
      </c>
      <c r="D57" s="140">
        <f t="shared" si="0"/>
        <v>0</v>
      </c>
      <c r="E57" s="141">
        <f t="shared" si="1"/>
        <v>-400</v>
      </c>
    </row>
    <row r="58" spans="1:5" ht="13.5" thickBot="1">
      <c r="A58" s="145" t="s">
        <v>38</v>
      </c>
      <c r="B58" s="114">
        <f>B59+B62+B66</f>
        <v>650100</v>
      </c>
      <c r="C58" s="114">
        <f>C59+C62+C66</f>
        <v>215199</v>
      </c>
      <c r="D58" s="147">
        <f t="shared" si="0"/>
        <v>33.10244577757268</v>
      </c>
      <c r="E58" s="148">
        <f t="shared" si="1"/>
        <v>-434901</v>
      </c>
    </row>
    <row r="59" spans="1:5" ht="15.75" customHeight="1" thickBot="1">
      <c r="A59" s="87" t="s">
        <v>206</v>
      </c>
      <c r="B59" s="114">
        <f>SUM(B60+B61)</f>
        <v>4000</v>
      </c>
      <c r="C59" s="114">
        <f>SUM(C60+C61)</f>
        <v>0</v>
      </c>
      <c r="D59" s="147">
        <f>IF(B59=0,"   ",C59/B59*100)</f>
        <v>0</v>
      </c>
      <c r="E59" s="148">
        <f>C59-B59</f>
        <v>-4000</v>
      </c>
    </row>
    <row r="60" spans="1:5" ht="18" customHeight="1" thickBot="1">
      <c r="A60" s="87" t="s">
        <v>179</v>
      </c>
      <c r="B60" s="138">
        <v>4000</v>
      </c>
      <c r="C60" s="146">
        <v>0</v>
      </c>
      <c r="D60" s="147">
        <f>IF(B60=0,"   ",C60/B60*100)</f>
        <v>0</v>
      </c>
      <c r="E60" s="148">
        <f>C60-B60</f>
        <v>-4000</v>
      </c>
    </row>
    <row r="61" spans="1:5" ht="18" customHeight="1">
      <c r="A61" s="87" t="s">
        <v>227</v>
      </c>
      <c r="B61" s="138">
        <v>0</v>
      </c>
      <c r="C61" s="138">
        <v>0</v>
      </c>
      <c r="D61" s="140"/>
      <c r="E61" s="141"/>
    </row>
    <row r="62" spans="1:5" ht="12.75">
      <c r="A62" s="111" t="s">
        <v>134</v>
      </c>
      <c r="B62" s="134">
        <f>B64+B65+B63</f>
        <v>602100</v>
      </c>
      <c r="C62" s="134">
        <f>C64+C65+C63</f>
        <v>215199</v>
      </c>
      <c r="D62" s="135">
        <f t="shared" si="0"/>
        <v>35.74140508221226</v>
      </c>
      <c r="E62" s="136">
        <f t="shared" si="1"/>
        <v>-386901</v>
      </c>
    </row>
    <row r="63" spans="1:5" ht="19.5" customHeight="1">
      <c r="A63" s="87" t="s">
        <v>185</v>
      </c>
      <c r="B63" s="138">
        <v>0</v>
      </c>
      <c r="C63" s="138">
        <v>0</v>
      </c>
      <c r="D63" s="135" t="str">
        <f t="shared" si="0"/>
        <v>   </v>
      </c>
      <c r="E63" s="136">
        <f t="shared" si="1"/>
        <v>0</v>
      </c>
    </row>
    <row r="64" spans="1:5" ht="25.5">
      <c r="A64" s="82" t="s">
        <v>135</v>
      </c>
      <c r="B64" s="138">
        <v>446000</v>
      </c>
      <c r="C64" s="138">
        <v>159407</v>
      </c>
      <c r="D64" s="135">
        <f t="shared" si="0"/>
        <v>35.7414798206278</v>
      </c>
      <c r="E64" s="136">
        <f t="shared" si="1"/>
        <v>-286593</v>
      </c>
    </row>
    <row r="65" spans="1:5" ht="26.25" thickBot="1">
      <c r="A65" s="82" t="s">
        <v>136</v>
      </c>
      <c r="B65" s="130">
        <v>156100</v>
      </c>
      <c r="C65" s="130">
        <v>55792</v>
      </c>
      <c r="D65" s="128">
        <f t="shared" si="0"/>
        <v>35.74119154388213</v>
      </c>
      <c r="E65" s="129">
        <f t="shared" si="1"/>
        <v>-100308</v>
      </c>
    </row>
    <row r="66" spans="1:5" ht="13.5" thickBot="1">
      <c r="A66" s="111" t="s">
        <v>207</v>
      </c>
      <c r="B66" s="114">
        <f>SUM(B67)</f>
        <v>44000</v>
      </c>
      <c r="C66" s="114">
        <f>SUM(C67)</f>
        <v>0</v>
      </c>
      <c r="D66" s="128">
        <f>IF(B66=0,"   ",C66/B66*100)</f>
        <v>0</v>
      </c>
      <c r="E66" s="129">
        <f>C66-B66</f>
        <v>-44000</v>
      </c>
    </row>
    <row r="67" spans="1:5" ht="26.25" thickBot="1">
      <c r="A67" s="87" t="s">
        <v>208</v>
      </c>
      <c r="B67" s="138">
        <v>44000</v>
      </c>
      <c r="C67" s="138">
        <v>0</v>
      </c>
      <c r="D67" s="128">
        <f>IF(B67=0,"   ",C67/B67*100)</f>
        <v>0</v>
      </c>
      <c r="E67" s="129">
        <f>C67-B67</f>
        <v>-44000</v>
      </c>
    </row>
    <row r="68" spans="1:5" ht="13.5" customHeight="1" thickBot="1">
      <c r="A68" s="145" t="s">
        <v>13</v>
      </c>
      <c r="B68" s="146">
        <f>SUM(B76,B75,B69)</f>
        <v>757595</v>
      </c>
      <c r="C68" s="146">
        <f>SUM(C76,C75,C69)</f>
        <v>592566.88</v>
      </c>
      <c r="D68" s="147">
        <f t="shared" si="0"/>
        <v>78.21684145222711</v>
      </c>
      <c r="E68" s="148">
        <f t="shared" si="1"/>
        <v>-165028.12</v>
      </c>
    </row>
    <row r="69" spans="1:5" ht="13.5" customHeight="1" thickBot="1">
      <c r="A69" s="43" t="s">
        <v>159</v>
      </c>
      <c r="B69" s="134">
        <f>SUM(B70+B71)</f>
        <v>674895</v>
      </c>
      <c r="C69" s="134">
        <f>SUM(C70+C71)</f>
        <v>551825</v>
      </c>
      <c r="D69" s="147">
        <f t="shared" si="0"/>
        <v>81.76457078508508</v>
      </c>
      <c r="E69" s="148">
        <f t="shared" si="1"/>
        <v>-123070</v>
      </c>
    </row>
    <row r="70" spans="1:5" ht="30.75" customHeight="1" thickBot="1">
      <c r="A70" s="16" t="s">
        <v>250</v>
      </c>
      <c r="B70" s="134">
        <v>35000</v>
      </c>
      <c r="C70" s="134">
        <v>0</v>
      </c>
      <c r="D70" s="147">
        <f t="shared" si="0"/>
        <v>0</v>
      </c>
      <c r="E70" s="141">
        <f t="shared" si="1"/>
        <v>-35000</v>
      </c>
    </row>
    <row r="71" spans="1:5" ht="19.5" customHeight="1" thickBot="1">
      <c r="A71" s="120" t="s">
        <v>265</v>
      </c>
      <c r="B71" s="134">
        <f>SUM(B72+B73+B74)</f>
        <v>639895</v>
      </c>
      <c r="C71" s="134">
        <f>SUM(C72+C73+C74)</f>
        <v>551825</v>
      </c>
      <c r="D71" s="147">
        <f>IF(B71=0,"   ",C71/B71*100)</f>
        <v>86.2368044757343</v>
      </c>
      <c r="E71" s="141">
        <f>C71-B71</f>
        <v>-88070</v>
      </c>
    </row>
    <row r="72" spans="1:5" ht="30.75" customHeight="1" thickBot="1">
      <c r="A72" s="120" t="s">
        <v>278</v>
      </c>
      <c r="B72" s="134">
        <v>331095</v>
      </c>
      <c r="C72" s="134">
        <v>331095</v>
      </c>
      <c r="D72" s="147">
        <f>IF(B72=0,"   ",C72/B72*100)</f>
        <v>100</v>
      </c>
      <c r="E72" s="141">
        <f>C72-B72</f>
        <v>0</v>
      </c>
    </row>
    <row r="73" spans="1:5" ht="30.75" customHeight="1" thickBot="1">
      <c r="A73" s="120" t="s">
        <v>266</v>
      </c>
      <c r="B73" s="134">
        <v>270200</v>
      </c>
      <c r="C73" s="134">
        <v>193138.75</v>
      </c>
      <c r="D73" s="147">
        <f>IF(B73=0,"   ",C73/B73*100)</f>
        <v>71.47992227979275</v>
      </c>
      <c r="E73" s="141">
        <f>C73-B73</f>
        <v>-77061.25</v>
      </c>
    </row>
    <row r="74" spans="1:5" ht="30.75" customHeight="1" thickBot="1">
      <c r="A74" s="120" t="s">
        <v>279</v>
      </c>
      <c r="B74" s="134">
        <v>38600</v>
      </c>
      <c r="C74" s="134">
        <v>27591.25</v>
      </c>
      <c r="D74" s="147">
        <f>IF(B74=0,"   ",C74/B74*100)</f>
        <v>71.47992227979275</v>
      </c>
      <c r="E74" s="141">
        <f>C74-B74</f>
        <v>-11008.75</v>
      </c>
    </row>
    <row r="75" spans="1:5" ht="13.5" customHeight="1" thickBot="1">
      <c r="A75" s="133" t="s">
        <v>85</v>
      </c>
      <c r="B75" s="134">
        <v>0</v>
      </c>
      <c r="C75" s="134">
        <v>0</v>
      </c>
      <c r="D75" s="147" t="str">
        <f t="shared" si="0"/>
        <v>   </v>
      </c>
      <c r="E75" s="136">
        <f t="shared" si="1"/>
        <v>0</v>
      </c>
    </row>
    <row r="76" spans="1:5" ht="12.75">
      <c r="A76" s="16" t="s">
        <v>58</v>
      </c>
      <c r="B76" s="25">
        <f>B77+B83+B78+B79+B80+B81+B82+B84</f>
        <v>82700</v>
      </c>
      <c r="C76" s="25">
        <f>C77+C83+C78+C79+C80+C81+C82+C84</f>
        <v>40741.88</v>
      </c>
      <c r="D76" s="26">
        <f t="shared" si="0"/>
        <v>49.26466747279323</v>
      </c>
      <c r="E76" s="45">
        <f t="shared" si="1"/>
        <v>-41958.12</v>
      </c>
    </row>
    <row r="77" spans="1:5" ht="12.75">
      <c r="A77" s="16" t="s">
        <v>56</v>
      </c>
      <c r="B77" s="25">
        <v>82000</v>
      </c>
      <c r="C77" s="27">
        <v>40141.88</v>
      </c>
      <c r="D77" s="26">
        <f t="shared" si="0"/>
        <v>48.953512195121945</v>
      </c>
      <c r="E77" s="45">
        <f t="shared" si="1"/>
        <v>-41858.12</v>
      </c>
    </row>
    <row r="78" spans="1:5" ht="25.5">
      <c r="A78" s="120" t="s">
        <v>180</v>
      </c>
      <c r="B78" s="130">
        <v>0</v>
      </c>
      <c r="C78" s="131">
        <v>0</v>
      </c>
      <c r="D78" s="128" t="str">
        <f t="shared" si="0"/>
        <v>   </v>
      </c>
      <c r="E78" s="129">
        <f t="shared" si="1"/>
        <v>0</v>
      </c>
    </row>
    <row r="79" spans="1:5" ht="25.5">
      <c r="A79" s="120" t="s">
        <v>223</v>
      </c>
      <c r="B79" s="130">
        <v>0</v>
      </c>
      <c r="C79" s="131">
        <v>0</v>
      </c>
      <c r="D79" s="128" t="str">
        <f t="shared" si="0"/>
        <v>   </v>
      </c>
      <c r="E79" s="129">
        <f t="shared" si="1"/>
        <v>0</v>
      </c>
    </row>
    <row r="80" spans="1:5" ht="15" customHeight="1">
      <c r="A80" s="120" t="s">
        <v>228</v>
      </c>
      <c r="B80" s="130">
        <v>0</v>
      </c>
      <c r="C80" s="131">
        <v>0</v>
      </c>
      <c r="D80" s="128" t="str">
        <f t="shared" si="0"/>
        <v>   </v>
      </c>
      <c r="E80" s="129">
        <f t="shared" si="1"/>
        <v>0</v>
      </c>
    </row>
    <row r="81" spans="1:5" ht="25.5">
      <c r="A81" s="120" t="s">
        <v>229</v>
      </c>
      <c r="B81" s="130">
        <v>0</v>
      </c>
      <c r="C81" s="131">
        <v>0</v>
      </c>
      <c r="D81" s="128" t="str">
        <f t="shared" si="0"/>
        <v>   </v>
      </c>
      <c r="E81" s="129">
        <f t="shared" si="1"/>
        <v>0</v>
      </c>
    </row>
    <row r="82" spans="1:5" ht="16.5" customHeight="1">
      <c r="A82" s="120" t="s">
        <v>230</v>
      </c>
      <c r="B82" s="130">
        <v>0</v>
      </c>
      <c r="C82" s="131">
        <v>0</v>
      </c>
      <c r="D82" s="128" t="str">
        <f t="shared" si="0"/>
        <v>   </v>
      </c>
      <c r="E82" s="129">
        <f t="shared" si="1"/>
        <v>0</v>
      </c>
    </row>
    <row r="83" spans="1:5" ht="12.75">
      <c r="A83" s="120" t="s">
        <v>59</v>
      </c>
      <c r="B83" s="130">
        <v>700</v>
      </c>
      <c r="C83" s="131">
        <v>600</v>
      </c>
      <c r="D83" s="128">
        <f t="shared" si="0"/>
        <v>85.71428571428571</v>
      </c>
      <c r="E83" s="129">
        <f t="shared" si="1"/>
        <v>-100</v>
      </c>
    </row>
    <row r="84" spans="1:5" ht="13.5" thickBot="1">
      <c r="A84" s="16" t="s">
        <v>95</v>
      </c>
      <c r="B84" s="138">
        <v>0</v>
      </c>
      <c r="C84" s="139">
        <v>0</v>
      </c>
      <c r="D84" s="140" t="str">
        <f t="shared" si="0"/>
        <v>   </v>
      </c>
      <c r="E84" s="141">
        <f t="shared" si="1"/>
        <v>0</v>
      </c>
    </row>
    <row r="85" spans="1:5" ht="15.75" thickBot="1">
      <c r="A85" s="149" t="s">
        <v>17</v>
      </c>
      <c r="B85" s="114">
        <v>8000</v>
      </c>
      <c r="C85" s="114">
        <v>8000</v>
      </c>
      <c r="D85" s="147">
        <f t="shared" si="0"/>
        <v>100</v>
      </c>
      <c r="E85" s="148">
        <f t="shared" si="1"/>
        <v>0</v>
      </c>
    </row>
    <row r="86" spans="1:5" ht="13.5" thickBot="1">
      <c r="A86" s="145" t="s">
        <v>41</v>
      </c>
      <c r="B86" s="206">
        <f>B87</f>
        <v>666600</v>
      </c>
      <c r="C86" s="206">
        <f>C87</f>
        <v>592961.25</v>
      </c>
      <c r="D86" s="147">
        <f t="shared" si="0"/>
        <v>88.95308280828083</v>
      </c>
      <c r="E86" s="148">
        <f t="shared" si="1"/>
        <v>-73638.75</v>
      </c>
    </row>
    <row r="87" spans="1:5" ht="12.75">
      <c r="A87" s="133" t="s">
        <v>42</v>
      </c>
      <c r="B87" s="134">
        <f>SUM(B88+B89)</f>
        <v>666600</v>
      </c>
      <c r="C87" s="134">
        <f>SUM(C88+C89)</f>
        <v>592961.25</v>
      </c>
      <c r="D87" s="135">
        <f t="shared" si="0"/>
        <v>88.95308280828083</v>
      </c>
      <c r="E87" s="136">
        <f t="shared" si="1"/>
        <v>-73638.75</v>
      </c>
    </row>
    <row r="88" spans="1:5" ht="12.75">
      <c r="A88" s="188" t="s">
        <v>151</v>
      </c>
      <c r="B88" s="138">
        <v>666600</v>
      </c>
      <c r="C88" s="139">
        <v>592961.25</v>
      </c>
      <c r="D88" s="140">
        <f t="shared" si="0"/>
        <v>88.95308280828083</v>
      </c>
      <c r="E88" s="141">
        <f t="shared" si="1"/>
        <v>-73638.75</v>
      </c>
    </row>
    <row r="89" spans="1:5" ht="13.5" thickBot="1">
      <c r="A89" s="16" t="s">
        <v>231</v>
      </c>
      <c r="B89" s="138">
        <v>0</v>
      </c>
      <c r="C89" s="139">
        <v>0</v>
      </c>
      <c r="D89" s="140" t="str">
        <f t="shared" si="0"/>
        <v>   </v>
      </c>
      <c r="E89" s="141">
        <f t="shared" si="1"/>
        <v>0</v>
      </c>
    </row>
    <row r="90" spans="1:5" ht="13.5" thickBot="1">
      <c r="A90" s="145" t="s">
        <v>125</v>
      </c>
      <c r="B90" s="146">
        <f>SUM(B91,)</f>
        <v>8000</v>
      </c>
      <c r="C90" s="146">
        <f>SUM(C91,)</f>
        <v>0</v>
      </c>
      <c r="D90" s="147">
        <f t="shared" si="0"/>
        <v>0</v>
      </c>
      <c r="E90" s="148">
        <f t="shared" si="1"/>
        <v>-8000</v>
      </c>
    </row>
    <row r="91" spans="1:5" ht="12.75">
      <c r="A91" s="143" t="s">
        <v>43</v>
      </c>
      <c r="B91" s="138">
        <v>8000</v>
      </c>
      <c r="C91" s="144">
        <v>0</v>
      </c>
      <c r="D91" s="140">
        <f t="shared" si="0"/>
        <v>0</v>
      </c>
      <c r="E91" s="141">
        <f t="shared" si="1"/>
        <v>-8000</v>
      </c>
    </row>
    <row r="92" spans="1:5" ht="21" customHeight="1">
      <c r="A92" s="192" t="s">
        <v>15</v>
      </c>
      <c r="B92" s="167">
        <f>SUM(B48,B54,B56,B58,B68,B85,B86,B90,)</f>
        <v>3237395</v>
      </c>
      <c r="C92" s="167">
        <f>SUM(C48,C54,C56,C58,C68,C85,C86,C90,)</f>
        <v>2292678.2</v>
      </c>
      <c r="D92" s="157">
        <f>IF(B92=0,"   ",C92/B92*100)</f>
        <v>70.81861187775975</v>
      </c>
      <c r="E92" s="158">
        <f>C92-B92</f>
        <v>-944716.7999999998</v>
      </c>
    </row>
    <row r="93" spans="1:5" s="69" customFormat="1" ht="23.25" customHeight="1">
      <c r="A93" s="92" t="s">
        <v>291</v>
      </c>
      <c r="B93" s="92"/>
      <c r="C93" s="247"/>
      <c r="D93" s="247"/>
      <c r="E93" s="247"/>
    </row>
    <row r="94" spans="1:5" s="69" customFormat="1" ht="12" customHeight="1">
      <c r="A94" s="92" t="s">
        <v>165</v>
      </c>
      <c r="B94" s="92"/>
      <c r="C94" s="93" t="s">
        <v>315</v>
      </c>
      <c r="D94" s="94"/>
      <c r="E94" s="95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</sheetData>
  <sheetProtection/>
  <mergeCells count="2">
    <mergeCell ref="A1:E1"/>
    <mergeCell ref="C93:E93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view="pageBreakPreview" zoomScaleNormal="75" zoomScaleSheetLayoutView="100" zoomScalePageLayoutView="0" workbookViewId="0" topLeftCell="A57">
      <selection activeCell="C33" sqref="C33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49" t="s">
        <v>311</v>
      </c>
      <c r="B1" s="249"/>
      <c r="C1" s="249"/>
      <c r="D1" s="249"/>
      <c r="E1" s="24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243</v>
      </c>
      <c r="C3" s="32" t="s">
        <v>299</v>
      </c>
      <c r="D3" s="19" t="s">
        <v>244</v>
      </c>
      <c r="E3" s="36" t="s">
        <v>247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59700</v>
      </c>
      <c r="C6" s="24">
        <f>SUM(C7)</f>
        <v>23908.7</v>
      </c>
      <c r="D6" s="26">
        <f aca="true" t="shared" si="0" ref="D6:D80">IF(B6=0,"   ",C6/B6*100)</f>
        <v>40.04807370184255</v>
      </c>
      <c r="E6" s="45">
        <f aca="true" t="shared" si="1" ref="E6:E81">C6-B6</f>
        <v>-35791.3</v>
      </c>
    </row>
    <row r="7" spans="1:5" ht="15" customHeight="1">
      <c r="A7" s="16" t="s">
        <v>44</v>
      </c>
      <c r="B7" s="25">
        <v>59700</v>
      </c>
      <c r="C7" s="27">
        <v>23908.7</v>
      </c>
      <c r="D7" s="26">
        <f t="shared" si="0"/>
        <v>40.04807370184255</v>
      </c>
      <c r="E7" s="45">
        <f t="shared" si="1"/>
        <v>-35791.3</v>
      </c>
    </row>
    <row r="8" spans="1:5" ht="15.75" customHeight="1">
      <c r="A8" s="74" t="s">
        <v>144</v>
      </c>
      <c r="B8" s="24">
        <f>SUM(B9)</f>
        <v>292500</v>
      </c>
      <c r="C8" s="24">
        <f>SUM(C9)</f>
        <v>255608.02</v>
      </c>
      <c r="D8" s="26">
        <f t="shared" si="0"/>
        <v>87.38735726495726</v>
      </c>
      <c r="E8" s="45">
        <f t="shared" si="1"/>
        <v>-36891.98000000001</v>
      </c>
    </row>
    <row r="9" spans="1:5" ht="15" customHeight="1">
      <c r="A9" s="43" t="s">
        <v>145</v>
      </c>
      <c r="B9" s="25">
        <v>292500</v>
      </c>
      <c r="C9" s="27">
        <v>255608.02</v>
      </c>
      <c r="D9" s="26">
        <f t="shared" si="0"/>
        <v>87.38735726495726</v>
      </c>
      <c r="E9" s="45">
        <f t="shared" si="1"/>
        <v>-36891.98000000001</v>
      </c>
    </row>
    <row r="10" spans="1:5" ht="16.5" customHeight="1">
      <c r="A10" s="16" t="s">
        <v>7</v>
      </c>
      <c r="B10" s="25">
        <f>B11</f>
        <v>1356300</v>
      </c>
      <c r="C10" s="25">
        <f>C11</f>
        <v>1937925.67</v>
      </c>
      <c r="D10" s="26">
        <f t="shared" si="0"/>
        <v>142.88326107793262</v>
      </c>
      <c r="E10" s="45">
        <f t="shared" si="1"/>
        <v>581625.6699999999</v>
      </c>
    </row>
    <row r="11" spans="1:5" ht="15" customHeight="1">
      <c r="A11" s="16" t="s">
        <v>26</v>
      </c>
      <c r="B11" s="25">
        <v>1356300</v>
      </c>
      <c r="C11" s="27">
        <v>1937925.67</v>
      </c>
      <c r="D11" s="26">
        <f t="shared" si="0"/>
        <v>142.88326107793262</v>
      </c>
      <c r="E11" s="45">
        <f t="shared" si="1"/>
        <v>581625.6699999999</v>
      </c>
    </row>
    <row r="12" spans="1:5" ht="15" customHeight="1">
      <c r="A12" s="16" t="s">
        <v>9</v>
      </c>
      <c r="B12" s="25">
        <f>SUM(B13:B14)</f>
        <v>220000</v>
      </c>
      <c r="C12" s="25">
        <f>SUM(C13:C14)</f>
        <v>157818.03</v>
      </c>
      <c r="D12" s="26">
        <f t="shared" si="0"/>
        <v>71.73546818181819</v>
      </c>
      <c r="E12" s="45">
        <f t="shared" si="1"/>
        <v>-62181.97</v>
      </c>
    </row>
    <row r="13" spans="1:5" ht="12.75" customHeight="1">
      <c r="A13" s="16" t="s">
        <v>27</v>
      </c>
      <c r="B13" s="25">
        <v>45000</v>
      </c>
      <c r="C13" s="27">
        <v>44372.47</v>
      </c>
      <c r="D13" s="26">
        <f t="shared" si="0"/>
        <v>98.60548888888889</v>
      </c>
      <c r="E13" s="45">
        <f t="shared" si="1"/>
        <v>-627.5299999999988</v>
      </c>
    </row>
    <row r="14" spans="1:5" ht="15" customHeight="1">
      <c r="A14" s="43" t="s">
        <v>173</v>
      </c>
      <c r="B14" s="31">
        <f>SUM(B15:B16)</f>
        <v>175000</v>
      </c>
      <c r="C14" s="31">
        <f>SUM(C15:C16)</f>
        <v>113445.56</v>
      </c>
      <c r="D14" s="26">
        <f t="shared" si="0"/>
        <v>64.82603428571429</v>
      </c>
      <c r="E14" s="45">
        <f t="shared" si="1"/>
        <v>-61554.44</v>
      </c>
    </row>
    <row r="15" spans="1:5" ht="15" customHeight="1">
      <c r="A15" s="43" t="s">
        <v>174</v>
      </c>
      <c r="B15" s="31">
        <v>3800</v>
      </c>
      <c r="C15" s="79">
        <v>3985.77</v>
      </c>
      <c r="D15" s="26">
        <f t="shared" si="0"/>
        <v>104.8886842105263</v>
      </c>
      <c r="E15" s="45">
        <f t="shared" si="1"/>
        <v>185.76999999999998</v>
      </c>
    </row>
    <row r="16" spans="1:5" ht="15" customHeight="1">
      <c r="A16" s="43" t="s">
        <v>175</v>
      </c>
      <c r="B16" s="31">
        <v>171200</v>
      </c>
      <c r="C16" s="79">
        <v>109459.79</v>
      </c>
      <c r="D16" s="26">
        <f t="shared" si="0"/>
        <v>63.93679322429906</v>
      </c>
      <c r="E16" s="45">
        <f t="shared" si="1"/>
        <v>-61740.21000000001</v>
      </c>
    </row>
    <row r="17" spans="1:5" ht="15" customHeight="1">
      <c r="A17" s="43" t="s">
        <v>252</v>
      </c>
      <c r="B17" s="31">
        <v>1800</v>
      </c>
      <c r="C17" s="79">
        <v>1800</v>
      </c>
      <c r="D17" s="26">
        <f t="shared" si="0"/>
        <v>100</v>
      </c>
      <c r="E17" s="45">
        <f t="shared" si="1"/>
        <v>0</v>
      </c>
    </row>
    <row r="18" spans="1:5" ht="27.7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7.75" customHeight="1">
      <c r="A19" s="16" t="s">
        <v>28</v>
      </c>
      <c r="B19" s="25">
        <f>SUM(B20:B21)</f>
        <v>58800</v>
      </c>
      <c r="C19" s="25">
        <f>SUM(C20:C21)</f>
        <v>52658.46000000001</v>
      </c>
      <c r="D19" s="26">
        <f t="shared" si="0"/>
        <v>89.55520408163267</v>
      </c>
      <c r="E19" s="45">
        <f t="shared" si="1"/>
        <v>-6141.539999999994</v>
      </c>
    </row>
    <row r="20" spans="1:5" ht="12.75" customHeight="1">
      <c r="A20" s="43" t="s">
        <v>163</v>
      </c>
      <c r="B20" s="25">
        <v>25000</v>
      </c>
      <c r="C20" s="25">
        <v>24448.56</v>
      </c>
      <c r="D20" s="26">
        <f t="shared" si="0"/>
        <v>97.79424000000002</v>
      </c>
      <c r="E20" s="45">
        <f t="shared" si="1"/>
        <v>-551.4399999999987</v>
      </c>
    </row>
    <row r="21" spans="1:5" ht="15.75" customHeight="1">
      <c r="A21" s="16" t="s">
        <v>30</v>
      </c>
      <c r="B21" s="25">
        <v>33800</v>
      </c>
      <c r="C21" s="25">
        <v>28209.9</v>
      </c>
      <c r="D21" s="26">
        <f t="shared" si="0"/>
        <v>83.4612426035503</v>
      </c>
      <c r="E21" s="45">
        <f t="shared" si="1"/>
        <v>-5590.0999999999985</v>
      </c>
    </row>
    <row r="22" spans="1:5" ht="15.7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5.75" customHeight="1">
      <c r="A23" s="16" t="s">
        <v>78</v>
      </c>
      <c r="B23" s="24">
        <f>B24+B25</f>
        <v>227800</v>
      </c>
      <c r="C23" s="24">
        <f>C24+C25</f>
        <v>252702.50999999998</v>
      </c>
      <c r="D23" s="26">
        <f t="shared" si="0"/>
        <v>110.9317427568042</v>
      </c>
      <c r="E23" s="45">
        <f t="shared" si="1"/>
        <v>24902.50999999998</v>
      </c>
    </row>
    <row r="24" spans="1:5" ht="27.75" customHeight="1">
      <c r="A24" s="16" t="s">
        <v>316</v>
      </c>
      <c r="B24" s="25">
        <v>0</v>
      </c>
      <c r="C24" s="27">
        <v>113665.65</v>
      </c>
      <c r="D24" s="26" t="str">
        <f t="shared" si="0"/>
        <v>   </v>
      </c>
      <c r="E24" s="45">
        <f t="shared" si="1"/>
        <v>113665.65</v>
      </c>
    </row>
    <row r="25" spans="1:5" ht="15" customHeight="1">
      <c r="A25" s="43" t="s">
        <v>139</v>
      </c>
      <c r="B25" s="25">
        <v>227800</v>
      </c>
      <c r="C25" s="27">
        <v>139036.86</v>
      </c>
      <c r="D25" s="26">
        <f t="shared" si="0"/>
        <v>61.03461808604038</v>
      </c>
      <c r="E25" s="45">
        <f t="shared" si="1"/>
        <v>-88763.14000000001</v>
      </c>
    </row>
    <row r="26" spans="1:5" ht="13.5" customHeight="1">
      <c r="A26" s="16" t="s">
        <v>32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46</v>
      </c>
      <c r="B27" s="25">
        <v>0</v>
      </c>
      <c r="C27" s="25">
        <v>0</v>
      </c>
      <c r="D27" s="26"/>
      <c r="E27" s="45">
        <f t="shared" si="1"/>
        <v>0</v>
      </c>
    </row>
    <row r="28" spans="1:5" ht="15" customHeight="1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3.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22.5" customHeight="1">
      <c r="A30" s="192" t="s">
        <v>10</v>
      </c>
      <c r="B30" s="46">
        <f>SUM(B6,B8,B10,B12,B18,B19,B22,B23,B29,B26,B17)</f>
        <v>2216900</v>
      </c>
      <c r="C30" s="46">
        <f>SUM(C6,C8,C10,C12,C18,C19,C22,C23,C29,C26,C17)</f>
        <v>2682421.389999999</v>
      </c>
      <c r="D30" s="157">
        <f t="shared" si="0"/>
        <v>120.99875456718839</v>
      </c>
      <c r="E30" s="158">
        <f t="shared" si="1"/>
        <v>465521.3899999992</v>
      </c>
    </row>
    <row r="31" spans="1:5" ht="16.5" customHeight="1">
      <c r="A31" s="200" t="s">
        <v>147</v>
      </c>
      <c r="B31" s="214">
        <f>SUM(B32:B34,B37:B39)</f>
        <v>1414200</v>
      </c>
      <c r="C31" s="214">
        <f>SUM(C32:C34,C37:C39)</f>
        <v>1149346</v>
      </c>
      <c r="D31" s="157">
        <f t="shared" si="0"/>
        <v>81.27181445340122</v>
      </c>
      <c r="E31" s="158">
        <f t="shared" si="1"/>
        <v>-264854</v>
      </c>
    </row>
    <row r="32" spans="1:5" ht="20.25" customHeight="1">
      <c r="A32" s="17" t="s">
        <v>34</v>
      </c>
      <c r="B32" s="24">
        <v>1123300</v>
      </c>
      <c r="C32" s="24">
        <v>934700</v>
      </c>
      <c r="D32" s="26">
        <f t="shared" si="0"/>
        <v>83.21018427846523</v>
      </c>
      <c r="E32" s="45">
        <f t="shared" si="1"/>
        <v>-188600</v>
      </c>
    </row>
    <row r="33" spans="1:5" ht="26.25" customHeight="1">
      <c r="A33" s="150" t="s">
        <v>51</v>
      </c>
      <c r="B33" s="151">
        <v>71300</v>
      </c>
      <c r="C33" s="151">
        <v>71300</v>
      </c>
      <c r="D33" s="152">
        <f t="shared" si="0"/>
        <v>100</v>
      </c>
      <c r="E33" s="153">
        <f t="shared" si="1"/>
        <v>0</v>
      </c>
    </row>
    <row r="34" spans="1:5" ht="26.25" customHeight="1">
      <c r="A34" s="124" t="s">
        <v>157</v>
      </c>
      <c r="B34" s="151">
        <f>SUM(B35:B36)</f>
        <v>1900</v>
      </c>
      <c r="C34" s="151">
        <f>SUM(C35:C36)</f>
        <v>100</v>
      </c>
      <c r="D34" s="152">
        <f t="shared" si="0"/>
        <v>5.263157894736842</v>
      </c>
      <c r="E34" s="153">
        <f t="shared" si="1"/>
        <v>-1800</v>
      </c>
    </row>
    <row r="35" spans="1:5" ht="17.25" customHeight="1">
      <c r="A35" s="124" t="s">
        <v>176</v>
      </c>
      <c r="B35" s="151">
        <v>100</v>
      </c>
      <c r="C35" s="151">
        <v>100</v>
      </c>
      <c r="D35" s="152">
        <f>IF(B35=0,"   ",C35/B35*100)</f>
        <v>100</v>
      </c>
      <c r="E35" s="153">
        <f>C35-B35</f>
        <v>0</v>
      </c>
    </row>
    <row r="36" spans="1:5" ht="26.25" customHeight="1">
      <c r="A36" s="124" t="s">
        <v>177</v>
      </c>
      <c r="B36" s="151">
        <v>1800</v>
      </c>
      <c r="C36" s="151">
        <v>0</v>
      </c>
      <c r="D36" s="152">
        <f>IF(B36=0,"   ",C36/B36*100)</f>
        <v>0</v>
      </c>
      <c r="E36" s="153">
        <f>C36-B36</f>
        <v>-1800</v>
      </c>
    </row>
    <row r="37" spans="1:5" ht="36.75" customHeight="1">
      <c r="A37" s="16" t="s">
        <v>104</v>
      </c>
      <c r="B37" s="25">
        <v>0</v>
      </c>
      <c r="C37" s="25">
        <v>0</v>
      </c>
      <c r="D37" s="26" t="str">
        <f t="shared" si="0"/>
        <v>   </v>
      </c>
      <c r="E37" s="45">
        <f t="shared" si="1"/>
        <v>0</v>
      </c>
    </row>
    <row r="38" spans="1:5" ht="18.75" customHeight="1">
      <c r="A38" s="16" t="s">
        <v>184</v>
      </c>
      <c r="B38" s="25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ht="15" customHeight="1">
      <c r="A39" s="16" t="s">
        <v>55</v>
      </c>
      <c r="B39" s="25">
        <f>B40</f>
        <v>217700</v>
      </c>
      <c r="C39" s="25">
        <f>C40</f>
        <v>143246</v>
      </c>
      <c r="D39" s="26">
        <f t="shared" si="0"/>
        <v>65.79972439136426</v>
      </c>
      <c r="E39" s="45">
        <f t="shared" si="1"/>
        <v>-74454</v>
      </c>
    </row>
    <row r="40" spans="1:5" s="7" customFormat="1" ht="18" customHeight="1">
      <c r="A40" s="56" t="s">
        <v>110</v>
      </c>
      <c r="B40" s="57">
        <v>217700</v>
      </c>
      <c r="C40" s="27">
        <v>143246</v>
      </c>
      <c r="D40" s="57">
        <f t="shared" si="0"/>
        <v>65.79972439136426</v>
      </c>
      <c r="E40" s="42">
        <f t="shared" si="1"/>
        <v>-74454</v>
      </c>
    </row>
    <row r="41" spans="1:5" ht="18.75" customHeight="1">
      <c r="A41" s="192" t="s">
        <v>11</v>
      </c>
      <c r="B41" s="167">
        <f>SUM(B30:B31,)</f>
        <v>3631100</v>
      </c>
      <c r="C41" s="167">
        <f>SUM(C30:C31,)</f>
        <v>3831767.389999999</v>
      </c>
      <c r="D41" s="157">
        <f t="shared" si="0"/>
        <v>105.52635262041802</v>
      </c>
      <c r="E41" s="158">
        <f t="shared" si="1"/>
        <v>200667.3899999992</v>
      </c>
    </row>
    <row r="42" spans="1:5" ht="15" customHeight="1" thickBot="1">
      <c r="A42" s="121" t="s">
        <v>12</v>
      </c>
      <c r="B42" s="122"/>
      <c r="C42" s="123"/>
      <c r="D42" s="128" t="str">
        <f t="shared" si="0"/>
        <v>   </v>
      </c>
      <c r="E42" s="129">
        <f t="shared" si="1"/>
        <v>0</v>
      </c>
    </row>
    <row r="43" spans="1:5" ht="27.75" customHeight="1" thickBot="1">
      <c r="A43" s="145" t="s">
        <v>35</v>
      </c>
      <c r="B43" s="146">
        <f>SUM(B44,B46:B47)</f>
        <v>1064700</v>
      </c>
      <c r="C43" s="146">
        <f>SUM(C44,C46:C47)</f>
        <v>950410.07</v>
      </c>
      <c r="D43" s="147">
        <f t="shared" si="0"/>
        <v>89.26552737860429</v>
      </c>
      <c r="E43" s="148">
        <f t="shared" si="1"/>
        <v>-114289.93000000005</v>
      </c>
    </row>
    <row r="44" spans="1:5" ht="15.75" customHeight="1">
      <c r="A44" s="133" t="s">
        <v>36</v>
      </c>
      <c r="B44" s="134">
        <v>1064200</v>
      </c>
      <c r="C44" s="134">
        <v>950410.07</v>
      </c>
      <c r="D44" s="135">
        <f t="shared" si="0"/>
        <v>89.30746758128171</v>
      </c>
      <c r="E44" s="136">
        <f t="shared" si="1"/>
        <v>-113789.93000000005</v>
      </c>
    </row>
    <row r="45" spans="1:5" ht="14.25" customHeight="1">
      <c r="A45" s="97" t="s">
        <v>121</v>
      </c>
      <c r="B45" s="25">
        <v>722000</v>
      </c>
      <c r="C45" s="28">
        <v>665126.95</v>
      </c>
      <c r="D45" s="26">
        <f t="shared" si="0"/>
        <v>92.1228462603878</v>
      </c>
      <c r="E45" s="45">
        <f t="shared" si="1"/>
        <v>-56873.05000000005</v>
      </c>
    </row>
    <row r="46" spans="1:5" ht="12.75" customHeight="1">
      <c r="A46" s="16" t="s">
        <v>96</v>
      </c>
      <c r="B46" s="25">
        <v>500</v>
      </c>
      <c r="C46" s="27">
        <v>0</v>
      </c>
      <c r="D46" s="26">
        <f t="shared" si="0"/>
        <v>0</v>
      </c>
      <c r="E46" s="45">
        <f t="shared" si="1"/>
        <v>-500</v>
      </c>
    </row>
    <row r="47" spans="1:5" ht="12.75" customHeight="1">
      <c r="A47" s="16" t="s">
        <v>52</v>
      </c>
      <c r="B47" s="25">
        <f>B48+B49</f>
        <v>0</v>
      </c>
      <c r="C47" s="25">
        <f>C48+C49</f>
        <v>0</v>
      </c>
      <c r="D47" s="26" t="str">
        <f t="shared" si="0"/>
        <v>   </v>
      </c>
      <c r="E47" s="45">
        <f t="shared" si="1"/>
        <v>0</v>
      </c>
    </row>
    <row r="48" spans="1:5" ht="24" customHeight="1">
      <c r="A48" s="120" t="s">
        <v>166</v>
      </c>
      <c r="B48" s="130">
        <v>0</v>
      </c>
      <c r="C48" s="131">
        <v>0</v>
      </c>
      <c r="D48" s="26" t="str">
        <f t="shared" si="0"/>
        <v>   </v>
      </c>
      <c r="E48" s="45">
        <f t="shared" si="1"/>
        <v>0</v>
      </c>
    </row>
    <row r="49" spans="1:5" ht="24" customHeight="1" thickBot="1">
      <c r="A49" s="120" t="s">
        <v>143</v>
      </c>
      <c r="B49" s="138">
        <v>0</v>
      </c>
      <c r="C49" s="139">
        <v>0</v>
      </c>
      <c r="D49" s="140"/>
      <c r="E49" s="141"/>
    </row>
    <row r="50" spans="1:5" ht="14.25" customHeight="1" thickBot="1">
      <c r="A50" s="145" t="s">
        <v>49</v>
      </c>
      <c r="B50" s="205">
        <f>SUM(B51)</f>
        <v>71300</v>
      </c>
      <c r="C50" s="205">
        <f>SUM(C51)</f>
        <v>65069.75</v>
      </c>
      <c r="D50" s="147">
        <f t="shared" si="0"/>
        <v>91.26192145862552</v>
      </c>
      <c r="E50" s="148">
        <f t="shared" si="1"/>
        <v>-6230.25</v>
      </c>
    </row>
    <row r="51" spans="1:5" ht="22.5" customHeight="1" thickBot="1">
      <c r="A51" s="137" t="s">
        <v>108</v>
      </c>
      <c r="B51" s="138">
        <v>71300</v>
      </c>
      <c r="C51" s="139">
        <v>65069.75</v>
      </c>
      <c r="D51" s="147">
        <f t="shared" si="0"/>
        <v>91.26192145862552</v>
      </c>
      <c r="E51" s="141">
        <f t="shared" si="1"/>
        <v>-6230.25</v>
      </c>
    </row>
    <row r="52" spans="1:5" ht="17.25" customHeight="1" thickBot="1">
      <c r="A52" s="145" t="s">
        <v>37</v>
      </c>
      <c r="B52" s="146">
        <f>SUM(B53)</f>
        <v>400</v>
      </c>
      <c r="C52" s="146">
        <f>SUM(C53)</f>
        <v>0</v>
      </c>
      <c r="D52" s="147">
        <f t="shared" si="0"/>
        <v>0</v>
      </c>
      <c r="E52" s="148">
        <f t="shared" si="1"/>
        <v>-400</v>
      </c>
    </row>
    <row r="53" spans="1:5" ht="15.75" customHeight="1">
      <c r="A53" s="87" t="s">
        <v>130</v>
      </c>
      <c r="B53" s="134">
        <v>400</v>
      </c>
      <c r="C53" s="142">
        <v>0</v>
      </c>
      <c r="D53" s="135">
        <f t="shared" si="0"/>
        <v>0</v>
      </c>
      <c r="E53" s="136">
        <f t="shared" si="1"/>
        <v>-400</v>
      </c>
    </row>
    <row r="54" spans="1:5" ht="18.75" customHeight="1" thickBot="1">
      <c r="A54" s="163" t="s">
        <v>38</v>
      </c>
      <c r="B54" s="130">
        <f>B58+B55+B64</f>
        <v>988200</v>
      </c>
      <c r="C54" s="130">
        <f>C58+C55+C64</f>
        <v>494758.5</v>
      </c>
      <c r="D54" s="128">
        <f t="shared" si="0"/>
        <v>50.066636308439584</v>
      </c>
      <c r="E54" s="129">
        <f t="shared" si="1"/>
        <v>-493441.5</v>
      </c>
    </row>
    <row r="55" spans="1:5" ht="18.75" customHeight="1" thickBot="1">
      <c r="A55" s="87" t="s">
        <v>178</v>
      </c>
      <c r="B55" s="114">
        <f>SUM(B56+B57)</f>
        <v>1800</v>
      </c>
      <c r="C55" s="114">
        <f>SUM(C56+C57)</f>
        <v>0</v>
      </c>
      <c r="D55" s="128">
        <f>IF(B55=0,"   ",C55/B55*100)</f>
        <v>0</v>
      </c>
      <c r="E55" s="129">
        <f>C55-B55</f>
        <v>-1800</v>
      </c>
    </row>
    <row r="56" spans="1:5" ht="18.75" customHeight="1">
      <c r="A56" s="87" t="s">
        <v>179</v>
      </c>
      <c r="B56" s="138">
        <v>1800</v>
      </c>
      <c r="C56" s="130">
        <v>0</v>
      </c>
      <c r="D56" s="128">
        <f>IF(B56=0,"   ",C56/B56*100)</f>
        <v>0</v>
      </c>
      <c r="E56" s="129">
        <f>C56-B56</f>
        <v>-1800</v>
      </c>
    </row>
    <row r="57" spans="1:5" ht="18.75" customHeight="1">
      <c r="A57" s="87" t="s">
        <v>227</v>
      </c>
      <c r="B57" s="138">
        <v>0</v>
      </c>
      <c r="C57" s="130">
        <v>0</v>
      </c>
      <c r="D57" s="128" t="str">
        <f>IF(B57=0,"   ",C57/B57*100)</f>
        <v>   </v>
      </c>
      <c r="E57" s="129">
        <f>C57-B57</f>
        <v>0</v>
      </c>
    </row>
    <row r="58" spans="1:5" ht="15" customHeight="1">
      <c r="A58" s="164" t="s">
        <v>134</v>
      </c>
      <c r="B58" s="25">
        <f>B59+B61+B63+B60+B62</f>
        <v>943900</v>
      </c>
      <c r="C58" s="25">
        <f>C59+C61+C63+C60+C62</f>
        <v>452258.5</v>
      </c>
      <c r="D58" s="128">
        <f t="shared" si="0"/>
        <v>47.91381502277784</v>
      </c>
      <c r="E58" s="129">
        <f t="shared" si="1"/>
        <v>-491641.5</v>
      </c>
    </row>
    <row r="59" spans="1:5" ht="18.75" customHeight="1">
      <c r="A59" s="87" t="s">
        <v>148</v>
      </c>
      <c r="B59" s="25">
        <v>0</v>
      </c>
      <c r="C59" s="25">
        <v>0</v>
      </c>
      <c r="D59" s="128" t="str">
        <f t="shared" si="0"/>
        <v>   </v>
      </c>
      <c r="E59" s="129">
        <f t="shared" si="1"/>
        <v>0</v>
      </c>
    </row>
    <row r="60" spans="1:5" ht="18.75" customHeight="1">
      <c r="A60" s="87" t="s">
        <v>158</v>
      </c>
      <c r="B60" s="25">
        <v>0</v>
      </c>
      <c r="C60" s="25">
        <v>0</v>
      </c>
      <c r="D60" s="128" t="str">
        <f>IF(B60=0,"   ",C60/B60*100)</f>
        <v>   </v>
      </c>
      <c r="E60" s="129">
        <f>C60-B60</f>
        <v>0</v>
      </c>
    </row>
    <row r="61" spans="1:5" ht="30" customHeight="1">
      <c r="A61" s="164" t="s">
        <v>135</v>
      </c>
      <c r="B61" s="25">
        <v>217700</v>
      </c>
      <c r="C61" s="25">
        <v>143246</v>
      </c>
      <c r="D61" s="128">
        <f t="shared" si="0"/>
        <v>65.79972439136426</v>
      </c>
      <c r="E61" s="129">
        <f t="shared" si="1"/>
        <v>-74454</v>
      </c>
    </row>
    <row r="62" spans="1:5" ht="30" customHeight="1">
      <c r="A62" s="164" t="s">
        <v>190</v>
      </c>
      <c r="B62" s="25">
        <v>0</v>
      </c>
      <c r="C62" s="25">
        <v>0</v>
      </c>
      <c r="D62" s="128" t="str">
        <f t="shared" si="0"/>
        <v>   </v>
      </c>
      <c r="E62" s="129">
        <f t="shared" si="1"/>
        <v>0</v>
      </c>
    </row>
    <row r="63" spans="1:5" ht="31.5" customHeight="1" thickBot="1">
      <c r="A63" s="164" t="s">
        <v>189</v>
      </c>
      <c r="B63" s="25">
        <v>726200</v>
      </c>
      <c r="C63" s="25">
        <v>309012.5</v>
      </c>
      <c r="D63" s="128">
        <f t="shared" si="0"/>
        <v>42.551982924814105</v>
      </c>
      <c r="E63" s="129">
        <f t="shared" si="1"/>
        <v>-417187.5</v>
      </c>
    </row>
    <row r="64" spans="1:5" ht="18" customHeight="1" thickBot="1">
      <c r="A64" s="111" t="s">
        <v>207</v>
      </c>
      <c r="B64" s="114">
        <f>SUM(B65)</f>
        <v>42500</v>
      </c>
      <c r="C64" s="114">
        <f>SUM(C65)</f>
        <v>42500</v>
      </c>
      <c r="D64" s="128">
        <f>IF(B64=0,"   ",C64/B64*100)</f>
        <v>100</v>
      </c>
      <c r="E64" s="129">
        <f>C64-B64</f>
        <v>0</v>
      </c>
    </row>
    <row r="65" spans="1:5" ht="31.5" customHeight="1">
      <c r="A65" s="87" t="s">
        <v>208</v>
      </c>
      <c r="B65" s="138">
        <v>42500</v>
      </c>
      <c r="C65" s="138">
        <v>42500</v>
      </c>
      <c r="D65" s="128">
        <f>IF(B65=0,"   ",C65/B65*100)</f>
        <v>100</v>
      </c>
      <c r="E65" s="129">
        <f>C65-B65</f>
        <v>0</v>
      </c>
    </row>
    <row r="66" spans="1:5" ht="20.25" customHeight="1" thickBot="1">
      <c r="A66" s="160" t="s">
        <v>13</v>
      </c>
      <c r="B66" s="207">
        <f>SUM(B68,B67)</f>
        <v>382400</v>
      </c>
      <c r="C66" s="207">
        <f>SUM(C68,C67)</f>
        <v>286503.63</v>
      </c>
      <c r="D66" s="161">
        <f t="shared" si="0"/>
        <v>74.92249738493723</v>
      </c>
      <c r="E66" s="162">
        <f t="shared" si="1"/>
        <v>-95896.37</v>
      </c>
    </row>
    <row r="67" spans="1:5" ht="15" customHeight="1">
      <c r="A67" s="43" t="s">
        <v>159</v>
      </c>
      <c r="B67" s="25">
        <v>0</v>
      </c>
      <c r="C67" s="25">
        <v>0</v>
      </c>
      <c r="D67" s="140"/>
      <c r="E67" s="141"/>
    </row>
    <row r="68" spans="1:5" ht="15" customHeight="1">
      <c r="A68" s="16" t="s">
        <v>58</v>
      </c>
      <c r="B68" s="25">
        <f>B69+B70+B71+B72</f>
        <v>382400</v>
      </c>
      <c r="C68" s="25">
        <f>C69+C70+C71+C72</f>
        <v>286503.63</v>
      </c>
      <c r="D68" s="26">
        <f t="shared" si="0"/>
        <v>74.92249738493723</v>
      </c>
      <c r="E68" s="45">
        <f t="shared" si="1"/>
        <v>-95896.37</v>
      </c>
    </row>
    <row r="69" spans="1:5" ht="15" customHeight="1">
      <c r="A69" s="16" t="s">
        <v>60</v>
      </c>
      <c r="B69" s="25">
        <v>232400</v>
      </c>
      <c r="C69" s="27">
        <v>178155.55</v>
      </c>
      <c r="D69" s="26">
        <f t="shared" si="0"/>
        <v>76.65901462994836</v>
      </c>
      <c r="E69" s="45">
        <f t="shared" si="1"/>
        <v>-54244.45000000001</v>
      </c>
    </row>
    <row r="70" spans="1:5" ht="15" customHeight="1">
      <c r="A70" s="120" t="s">
        <v>59</v>
      </c>
      <c r="B70" s="130">
        <v>150000</v>
      </c>
      <c r="C70" s="131">
        <v>108348.08</v>
      </c>
      <c r="D70" s="128">
        <f t="shared" si="0"/>
        <v>72.23205333333334</v>
      </c>
      <c r="E70" s="129">
        <f t="shared" si="1"/>
        <v>-41651.92</v>
      </c>
    </row>
    <row r="71" spans="1:5" ht="29.25" customHeight="1">
      <c r="A71" s="120" t="s">
        <v>180</v>
      </c>
      <c r="B71" s="138">
        <v>0</v>
      </c>
      <c r="C71" s="139">
        <v>0</v>
      </c>
      <c r="D71" s="140" t="str">
        <f t="shared" si="0"/>
        <v>   </v>
      </c>
      <c r="E71" s="141">
        <f t="shared" si="1"/>
        <v>0</v>
      </c>
    </row>
    <row r="72" spans="1:5" ht="16.5" customHeight="1" thickBot="1">
      <c r="A72" s="16" t="s">
        <v>95</v>
      </c>
      <c r="B72" s="138">
        <v>0</v>
      </c>
      <c r="C72" s="139">
        <v>0</v>
      </c>
      <c r="D72" s="140" t="str">
        <f t="shared" si="0"/>
        <v>   </v>
      </c>
      <c r="E72" s="141">
        <f t="shared" si="1"/>
        <v>0</v>
      </c>
    </row>
    <row r="73" spans="1:5" ht="18.75" customHeight="1" thickBot="1">
      <c r="A73" s="149" t="s">
        <v>17</v>
      </c>
      <c r="B73" s="114">
        <v>8000</v>
      </c>
      <c r="C73" s="114">
        <v>0</v>
      </c>
      <c r="D73" s="147">
        <f t="shared" si="0"/>
        <v>0</v>
      </c>
      <c r="E73" s="148">
        <f t="shared" si="1"/>
        <v>-8000</v>
      </c>
    </row>
    <row r="74" spans="1:5" ht="19.5" customHeight="1" thickBot="1">
      <c r="A74" s="145" t="s">
        <v>41</v>
      </c>
      <c r="B74" s="206">
        <f>B75</f>
        <v>1114100</v>
      </c>
      <c r="C74" s="206">
        <f>C75</f>
        <v>372700</v>
      </c>
      <c r="D74" s="147">
        <f t="shared" si="0"/>
        <v>33.453011399335786</v>
      </c>
      <c r="E74" s="148">
        <f t="shared" si="1"/>
        <v>-741400</v>
      </c>
    </row>
    <row r="75" spans="1:5" ht="12.75">
      <c r="A75" s="133" t="s">
        <v>42</v>
      </c>
      <c r="B75" s="134">
        <f>SUM(B76:B78)</f>
        <v>1114100</v>
      </c>
      <c r="C75" s="134">
        <f>SUM(C76:C78)</f>
        <v>372700</v>
      </c>
      <c r="D75" s="135">
        <f t="shared" si="0"/>
        <v>33.453011399335786</v>
      </c>
      <c r="E75" s="136">
        <f t="shared" si="1"/>
        <v>-741400</v>
      </c>
    </row>
    <row r="76" spans="1:5" ht="12.75">
      <c r="A76" s="188" t="s">
        <v>151</v>
      </c>
      <c r="B76" s="134">
        <v>372700</v>
      </c>
      <c r="C76" s="142">
        <v>372700</v>
      </c>
      <c r="D76" s="135">
        <f t="shared" si="0"/>
        <v>100</v>
      </c>
      <c r="E76" s="136">
        <f t="shared" si="1"/>
        <v>0</v>
      </c>
    </row>
    <row r="77" spans="1:5" ht="12.75">
      <c r="A77" s="16" t="s">
        <v>292</v>
      </c>
      <c r="B77" s="134">
        <v>341400</v>
      </c>
      <c r="C77" s="142">
        <v>0</v>
      </c>
      <c r="D77" s="135">
        <f t="shared" si="0"/>
        <v>0</v>
      </c>
      <c r="E77" s="136">
        <f t="shared" si="1"/>
        <v>-341400</v>
      </c>
    </row>
    <row r="78" spans="1:5" ht="12.75">
      <c r="A78" s="133" t="s">
        <v>263</v>
      </c>
      <c r="B78" s="134">
        <v>400000</v>
      </c>
      <c r="C78" s="142">
        <v>0</v>
      </c>
      <c r="D78" s="135">
        <f t="shared" si="0"/>
        <v>0</v>
      </c>
      <c r="E78" s="136">
        <f t="shared" si="1"/>
        <v>-400000</v>
      </c>
    </row>
    <row r="79" spans="1:5" ht="18.75" customHeight="1">
      <c r="A79" s="16" t="s">
        <v>125</v>
      </c>
      <c r="B79" s="25">
        <f>SUM(B80,)</f>
        <v>2000</v>
      </c>
      <c r="C79" s="25">
        <f>SUM(C80,)</f>
        <v>0</v>
      </c>
      <c r="D79" s="26">
        <f t="shared" si="0"/>
        <v>0</v>
      </c>
      <c r="E79" s="45">
        <f t="shared" si="1"/>
        <v>-2000</v>
      </c>
    </row>
    <row r="80" spans="1:5" ht="14.25" customHeight="1">
      <c r="A80" s="120" t="s">
        <v>43</v>
      </c>
      <c r="B80" s="130">
        <v>2000</v>
      </c>
      <c r="C80" s="132">
        <v>0</v>
      </c>
      <c r="D80" s="128">
        <f t="shared" si="0"/>
        <v>0</v>
      </c>
      <c r="E80" s="129">
        <f t="shared" si="1"/>
        <v>-2000</v>
      </c>
    </row>
    <row r="81" spans="1:5" ht="22.5" customHeight="1">
      <c r="A81" s="192" t="s">
        <v>15</v>
      </c>
      <c r="B81" s="167">
        <f>SUM(B43,B50,B52,B54,B66,B73,B74,B79,)</f>
        <v>3631100</v>
      </c>
      <c r="C81" s="167">
        <f>SUM(C43,C50,C52,C54,C66,C73,C74,C79,)</f>
        <v>2169441.9499999997</v>
      </c>
      <c r="D81" s="157">
        <f>IF(B81=0,"   ",C81/B81*100)</f>
        <v>59.746136157087385</v>
      </c>
      <c r="E81" s="158">
        <f t="shared" si="1"/>
        <v>-1461658.0500000003</v>
      </c>
    </row>
    <row r="82" spans="1:5" ht="18.75" customHeight="1">
      <c r="A82" s="92" t="s">
        <v>291</v>
      </c>
      <c r="B82" s="92"/>
      <c r="C82" s="247"/>
      <c r="D82" s="247"/>
      <c r="E82" s="247"/>
    </row>
    <row r="83" spans="1:5" ht="18" customHeight="1">
      <c r="A83" s="92" t="s">
        <v>165</v>
      </c>
      <c r="B83" s="92"/>
      <c r="C83" s="93" t="s">
        <v>315</v>
      </c>
      <c r="D83" s="94"/>
      <c r="E83" s="95"/>
    </row>
    <row r="84" spans="1:5" s="69" customFormat="1" ht="23.25" customHeight="1">
      <c r="A84" s="7"/>
      <c r="B84" s="7"/>
      <c r="C84" s="6"/>
      <c r="D84" s="7"/>
      <c r="E84" s="2"/>
    </row>
    <row r="85" spans="1:5" s="69" customFormat="1" ht="12" customHeight="1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</sheetData>
  <sheetProtection/>
  <mergeCells count="2">
    <mergeCell ref="A1:E1"/>
    <mergeCell ref="C82:E82"/>
  </mergeCells>
  <printOptions/>
  <pageMargins left="1.1811023622047245" right="0.7874015748031497" top="0.3937007874015748" bottom="0.3937007874015748" header="0.3937007874015748" footer="0.3937007874015748"/>
  <pageSetup fitToHeight="2" horizontalDpi="600" verticalDpi="600" orientation="landscape" paperSize="9" scale="6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8">
      <selection activeCell="C37" sqref="C37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49" t="s">
        <v>309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243</v>
      </c>
      <c r="C4" s="32" t="s">
        <v>310</v>
      </c>
      <c r="D4" s="19" t="s">
        <v>244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4">
        <f>SUM(B8)</f>
        <v>41300</v>
      </c>
      <c r="C7" s="24">
        <f>SUM(C8)</f>
        <v>37498.39</v>
      </c>
      <c r="D7" s="26">
        <f aca="true" t="shared" si="0" ref="D7:D77">IF(B7=0,"   ",C7/B7*100)</f>
        <v>90.79513317191284</v>
      </c>
      <c r="E7" s="45">
        <f aca="true" t="shared" si="1" ref="E7:E78">C7-B7</f>
        <v>-3801.6100000000006</v>
      </c>
    </row>
    <row r="8" spans="1:5" ht="12.75" customHeight="1">
      <c r="A8" s="16" t="s">
        <v>44</v>
      </c>
      <c r="B8" s="25">
        <v>41300</v>
      </c>
      <c r="C8" s="27">
        <v>37498.39</v>
      </c>
      <c r="D8" s="26">
        <f t="shared" si="0"/>
        <v>90.79513317191284</v>
      </c>
      <c r="E8" s="45">
        <f t="shared" si="1"/>
        <v>-3801.6100000000006</v>
      </c>
    </row>
    <row r="9" spans="1:5" ht="12.75" customHeight="1">
      <c r="A9" s="74" t="s">
        <v>144</v>
      </c>
      <c r="B9" s="24">
        <f>SUM(B10)</f>
        <v>623400</v>
      </c>
      <c r="C9" s="24">
        <f>SUM(C10)</f>
        <v>544799.5</v>
      </c>
      <c r="D9" s="26">
        <f t="shared" si="0"/>
        <v>87.39164260506898</v>
      </c>
      <c r="E9" s="45">
        <f t="shared" si="1"/>
        <v>-78600.5</v>
      </c>
    </row>
    <row r="10" spans="1:5" ht="12.75" customHeight="1">
      <c r="A10" s="43" t="s">
        <v>145</v>
      </c>
      <c r="B10" s="25">
        <v>623400</v>
      </c>
      <c r="C10" s="27">
        <v>544799.5</v>
      </c>
      <c r="D10" s="26">
        <f t="shared" si="0"/>
        <v>87.39164260506898</v>
      </c>
      <c r="E10" s="45">
        <f t="shared" si="1"/>
        <v>-78600.5</v>
      </c>
    </row>
    <row r="11" spans="1:5" ht="16.5" customHeight="1">
      <c r="A11" s="16" t="s">
        <v>7</v>
      </c>
      <c r="B11" s="25">
        <f>SUM(B12:B12)</f>
        <v>8800</v>
      </c>
      <c r="C11" s="25">
        <f>SUM(C12:C12)</f>
        <v>8193</v>
      </c>
      <c r="D11" s="26">
        <f t="shared" si="0"/>
        <v>93.10227272727273</v>
      </c>
      <c r="E11" s="45">
        <f t="shared" si="1"/>
        <v>-607</v>
      </c>
    </row>
    <row r="12" spans="1:5" ht="16.5" customHeight="1">
      <c r="A12" s="16" t="s">
        <v>26</v>
      </c>
      <c r="B12" s="25">
        <v>8800</v>
      </c>
      <c r="C12" s="27">
        <v>8193</v>
      </c>
      <c r="D12" s="26">
        <f t="shared" si="0"/>
        <v>93.10227272727273</v>
      </c>
      <c r="E12" s="45">
        <f t="shared" si="1"/>
        <v>-607</v>
      </c>
    </row>
    <row r="13" spans="1:5" ht="15.75" customHeight="1">
      <c r="A13" s="16" t="s">
        <v>9</v>
      </c>
      <c r="B13" s="25">
        <f>SUM(B14:B15)</f>
        <v>360300</v>
      </c>
      <c r="C13" s="25">
        <f>SUM(C14:C15)</f>
        <v>245230.19999999998</v>
      </c>
      <c r="D13" s="26">
        <f t="shared" si="0"/>
        <v>68.06278101582014</v>
      </c>
      <c r="E13" s="45">
        <f t="shared" si="1"/>
        <v>-115069.80000000002</v>
      </c>
    </row>
    <row r="14" spans="1:5" ht="15.75" customHeight="1">
      <c r="A14" s="16" t="s">
        <v>27</v>
      </c>
      <c r="B14" s="25">
        <v>53000</v>
      </c>
      <c r="C14" s="27">
        <v>18888.77</v>
      </c>
      <c r="D14" s="26">
        <f t="shared" si="0"/>
        <v>35.63918867924528</v>
      </c>
      <c r="E14" s="45">
        <f t="shared" si="1"/>
        <v>-34111.229999999996</v>
      </c>
    </row>
    <row r="15" spans="1:5" ht="14.25" customHeight="1">
      <c r="A15" s="43" t="s">
        <v>173</v>
      </c>
      <c r="B15" s="31">
        <f>SUM(B16:B17)</f>
        <v>307300</v>
      </c>
      <c r="C15" s="31">
        <f>SUM(C16:C17)</f>
        <v>226341.43</v>
      </c>
      <c r="D15" s="26">
        <f t="shared" si="0"/>
        <v>73.65487471526195</v>
      </c>
      <c r="E15" s="45">
        <f t="shared" si="1"/>
        <v>-80958.57</v>
      </c>
    </row>
    <row r="16" spans="1:5" ht="14.25" customHeight="1">
      <c r="A16" s="43" t="s">
        <v>174</v>
      </c>
      <c r="B16" s="31">
        <v>48900</v>
      </c>
      <c r="C16" s="79">
        <v>59241.74</v>
      </c>
      <c r="D16" s="26">
        <f t="shared" si="0"/>
        <v>121.1487525562372</v>
      </c>
      <c r="E16" s="45">
        <f t="shared" si="1"/>
        <v>10341.739999999998</v>
      </c>
    </row>
    <row r="17" spans="1:5" ht="14.25" customHeight="1">
      <c r="A17" s="43" t="s">
        <v>175</v>
      </c>
      <c r="B17" s="31">
        <v>258400</v>
      </c>
      <c r="C17" s="79">
        <v>167099.69</v>
      </c>
      <c r="D17" s="26">
        <f t="shared" si="0"/>
        <v>64.66706269349845</v>
      </c>
      <c r="E17" s="45">
        <f t="shared" si="1"/>
        <v>-91300.31</v>
      </c>
    </row>
    <row r="18" spans="1:5" ht="14.25" customHeight="1">
      <c r="A18" s="43" t="s">
        <v>252</v>
      </c>
      <c r="B18" s="31">
        <v>2600</v>
      </c>
      <c r="C18" s="79">
        <v>2800</v>
      </c>
      <c r="D18" s="26">
        <f t="shared" si="0"/>
        <v>107.6923076923077</v>
      </c>
      <c r="E18" s="45">
        <f t="shared" si="1"/>
        <v>200</v>
      </c>
    </row>
    <row r="19" spans="1:5" ht="15" customHeight="1">
      <c r="A19" s="16" t="s">
        <v>88</v>
      </c>
      <c r="B19" s="25">
        <v>0</v>
      </c>
      <c r="C19" s="25">
        <v>0</v>
      </c>
      <c r="D19" s="26" t="str">
        <f t="shared" si="0"/>
        <v>   </v>
      </c>
      <c r="E19" s="45">
        <f t="shared" si="1"/>
        <v>0</v>
      </c>
    </row>
    <row r="20" spans="1:5" ht="13.5" customHeight="1">
      <c r="A20" s="16" t="s">
        <v>28</v>
      </c>
      <c r="B20" s="25">
        <f>SUM(B21:B22)</f>
        <v>184600</v>
      </c>
      <c r="C20" s="25">
        <f>SUM(C21:C22)</f>
        <v>83064.19</v>
      </c>
      <c r="D20" s="26">
        <f t="shared" si="0"/>
        <v>44.996852654387865</v>
      </c>
      <c r="E20" s="45">
        <f t="shared" si="1"/>
        <v>-101535.81</v>
      </c>
    </row>
    <row r="21" spans="1:5" ht="13.5" customHeight="1">
      <c r="A21" s="43" t="s">
        <v>163</v>
      </c>
      <c r="B21" s="25">
        <v>74600</v>
      </c>
      <c r="C21" s="27">
        <v>12180.94</v>
      </c>
      <c r="D21" s="26">
        <f t="shared" si="0"/>
        <v>16.32833780160858</v>
      </c>
      <c r="E21" s="45">
        <f t="shared" si="1"/>
        <v>-62419.06</v>
      </c>
    </row>
    <row r="22" spans="1:5" ht="15.75" customHeight="1">
      <c r="A22" s="16" t="s">
        <v>30</v>
      </c>
      <c r="B22" s="25">
        <v>110000</v>
      </c>
      <c r="C22" s="27">
        <v>70883.25</v>
      </c>
      <c r="D22" s="26">
        <f t="shared" si="0"/>
        <v>64.43931818181818</v>
      </c>
      <c r="E22" s="45">
        <f t="shared" si="1"/>
        <v>-39116.75</v>
      </c>
    </row>
    <row r="23" spans="1:5" ht="17.25" customHeight="1">
      <c r="A23" s="41" t="s">
        <v>92</v>
      </c>
      <c r="B23" s="25">
        <v>14100</v>
      </c>
      <c r="C23" s="27">
        <v>17717.7</v>
      </c>
      <c r="D23" s="26">
        <f t="shared" si="0"/>
        <v>125.65744680851066</v>
      </c>
      <c r="E23" s="45">
        <f t="shared" si="1"/>
        <v>3617.7000000000007</v>
      </c>
    </row>
    <row r="24" spans="1:5" ht="18.75" customHeight="1">
      <c r="A24" s="16" t="s">
        <v>78</v>
      </c>
      <c r="B24" s="25">
        <f>SUM(B25)</f>
        <v>59100</v>
      </c>
      <c r="C24" s="25">
        <f>SUM(C25)</f>
        <v>59113</v>
      </c>
      <c r="D24" s="26">
        <f t="shared" si="0"/>
        <v>100.02199661590525</v>
      </c>
      <c r="E24" s="45">
        <f t="shared" si="1"/>
        <v>13</v>
      </c>
    </row>
    <row r="25" spans="1:5" ht="22.5" customHeight="1">
      <c r="A25" s="16" t="s">
        <v>254</v>
      </c>
      <c r="B25" s="25">
        <v>59100</v>
      </c>
      <c r="C25" s="27">
        <v>59113</v>
      </c>
      <c r="D25" s="26">
        <f t="shared" si="0"/>
        <v>100.02199661590525</v>
      </c>
      <c r="E25" s="45">
        <f t="shared" si="1"/>
        <v>13</v>
      </c>
    </row>
    <row r="26" spans="1:5" ht="16.5" customHeight="1">
      <c r="A26" s="16" t="s">
        <v>32</v>
      </c>
      <c r="B26" s="25">
        <f>B27+B28</f>
        <v>0</v>
      </c>
      <c r="C26" s="25">
        <f>C27+C28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46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3.5" customHeight="1">
      <c r="A28" s="16" t="s">
        <v>20</v>
      </c>
      <c r="B28" s="25">
        <v>0</v>
      </c>
      <c r="C28" s="27">
        <v>0</v>
      </c>
      <c r="D28" s="26"/>
      <c r="E28" s="45">
        <f t="shared" si="1"/>
        <v>0</v>
      </c>
    </row>
    <row r="29" spans="1:5" ht="12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21" customHeight="1">
      <c r="A30" s="192" t="s">
        <v>10</v>
      </c>
      <c r="B30" s="167">
        <f>SUM(B7,B9,B11,B13,B20,B23,B24,B26,B29,B18)</f>
        <v>1294200</v>
      </c>
      <c r="C30" s="167">
        <f>SUM(C7,C9,C11,C13,C20,C23,C24,C26,C29,C18)</f>
        <v>998415.98</v>
      </c>
      <c r="D30" s="157">
        <f t="shared" si="0"/>
        <v>77.14541647349714</v>
      </c>
      <c r="E30" s="158">
        <f t="shared" si="1"/>
        <v>-295784.02</v>
      </c>
    </row>
    <row r="31" spans="1:5" ht="21" customHeight="1">
      <c r="A31" s="215" t="s">
        <v>147</v>
      </c>
      <c r="B31" s="214">
        <f>SUM(B32:B34,B37:B38,B41)</f>
        <v>2087668</v>
      </c>
      <c r="C31" s="214">
        <f>SUM(C32:C34,C37:C38,C41)</f>
        <v>1551507</v>
      </c>
      <c r="D31" s="157">
        <f t="shared" si="0"/>
        <v>74.31770760484905</v>
      </c>
      <c r="E31" s="158">
        <f t="shared" si="1"/>
        <v>-536161</v>
      </c>
    </row>
    <row r="32" spans="1:5" ht="18" customHeight="1">
      <c r="A32" s="17" t="s">
        <v>34</v>
      </c>
      <c r="B32" s="24">
        <v>1023200</v>
      </c>
      <c r="C32" s="24">
        <v>851100</v>
      </c>
      <c r="D32" s="26">
        <f t="shared" si="0"/>
        <v>83.18021892103205</v>
      </c>
      <c r="E32" s="45">
        <f t="shared" si="1"/>
        <v>-172100</v>
      </c>
    </row>
    <row r="33" spans="1:5" ht="28.5" customHeight="1">
      <c r="A33" s="150" t="s">
        <v>51</v>
      </c>
      <c r="B33" s="151">
        <v>71300</v>
      </c>
      <c r="C33" s="154">
        <v>71300</v>
      </c>
      <c r="D33" s="152">
        <f t="shared" si="0"/>
        <v>100</v>
      </c>
      <c r="E33" s="153">
        <f t="shared" si="1"/>
        <v>0</v>
      </c>
    </row>
    <row r="34" spans="1:5" ht="30.75" customHeight="1">
      <c r="A34" s="124" t="s">
        <v>157</v>
      </c>
      <c r="B34" s="151">
        <f>SUM(B35:B36)</f>
        <v>100</v>
      </c>
      <c r="C34" s="151">
        <f>SUM(C35:C36)</f>
        <v>100</v>
      </c>
      <c r="D34" s="152">
        <f t="shared" si="0"/>
        <v>100</v>
      </c>
      <c r="E34" s="153">
        <f t="shared" si="1"/>
        <v>0</v>
      </c>
    </row>
    <row r="35" spans="1:5" ht="16.5" customHeight="1">
      <c r="A35" s="124" t="s">
        <v>176</v>
      </c>
      <c r="B35" s="151">
        <v>100</v>
      </c>
      <c r="C35" s="154">
        <v>100</v>
      </c>
      <c r="D35" s="152">
        <f>IF(B35=0,"   ",C35/B35*100)</f>
        <v>100</v>
      </c>
      <c r="E35" s="153">
        <f>C35-B35</f>
        <v>0</v>
      </c>
    </row>
    <row r="36" spans="1:5" ht="30.75" customHeight="1">
      <c r="A36" s="124" t="s">
        <v>177</v>
      </c>
      <c r="B36" s="151">
        <v>0</v>
      </c>
      <c r="C36" s="154">
        <v>0</v>
      </c>
      <c r="D36" s="152" t="str">
        <f>IF(B36=0,"   ",C36/B36*100)</f>
        <v>   </v>
      </c>
      <c r="E36" s="153">
        <f>C36-B36</f>
        <v>0</v>
      </c>
    </row>
    <row r="37" spans="1:5" ht="25.5" customHeight="1">
      <c r="A37" s="16" t="s">
        <v>104</v>
      </c>
      <c r="B37" s="151">
        <v>133868</v>
      </c>
      <c r="C37" s="151">
        <v>133868</v>
      </c>
      <c r="D37" s="152">
        <f t="shared" si="0"/>
        <v>100</v>
      </c>
      <c r="E37" s="153">
        <f t="shared" si="1"/>
        <v>0</v>
      </c>
    </row>
    <row r="38" spans="1:5" ht="15" customHeight="1">
      <c r="A38" s="16" t="s">
        <v>81</v>
      </c>
      <c r="B38" s="25">
        <f>B40+B39</f>
        <v>701200</v>
      </c>
      <c r="C38" s="25">
        <f>C40+C39</f>
        <v>425139</v>
      </c>
      <c r="D38" s="26">
        <f t="shared" si="0"/>
        <v>60.63020536223617</v>
      </c>
      <c r="E38" s="45">
        <f t="shared" si="1"/>
        <v>-276061</v>
      </c>
    </row>
    <row r="39" spans="1:5" ht="15" customHeight="1">
      <c r="A39" s="56" t="s">
        <v>224</v>
      </c>
      <c r="B39" s="25">
        <v>237000</v>
      </c>
      <c r="C39" s="25">
        <v>237000</v>
      </c>
      <c r="D39" s="26">
        <f t="shared" si="0"/>
        <v>100</v>
      </c>
      <c r="E39" s="45">
        <f t="shared" si="1"/>
        <v>0</v>
      </c>
    </row>
    <row r="40" spans="1:5" s="7" customFormat="1" ht="15" customHeight="1">
      <c r="A40" s="56" t="s">
        <v>110</v>
      </c>
      <c r="B40" s="57">
        <v>464200</v>
      </c>
      <c r="C40" s="57">
        <v>188139</v>
      </c>
      <c r="D40" s="57">
        <f t="shared" si="0"/>
        <v>40.52972856527359</v>
      </c>
      <c r="E40" s="42">
        <f t="shared" si="1"/>
        <v>-276061</v>
      </c>
    </row>
    <row r="41" spans="1:5" s="7" customFormat="1" ht="15" customHeight="1">
      <c r="A41" s="16" t="s">
        <v>255</v>
      </c>
      <c r="B41" s="57">
        <v>158000</v>
      </c>
      <c r="C41" s="57">
        <v>70000</v>
      </c>
      <c r="D41" s="57">
        <f t="shared" si="0"/>
        <v>44.303797468354425</v>
      </c>
      <c r="E41" s="42">
        <f t="shared" si="1"/>
        <v>-88000</v>
      </c>
    </row>
    <row r="42" spans="1:5" ht="21" customHeight="1">
      <c r="A42" s="192" t="s">
        <v>11</v>
      </c>
      <c r="B42" s="167">
        <f>SUM(B30:B31,)</f>
        <v>3381868</v>
      </c>
      <c r="C42" s="167">
        <f>SUM(C30:C31,)</f>
        <v>2549922.98</v>
      </c>
      <c r="D42" s="26">
        <f t="shared" si="0"/>
        <v>75.39983760454282</v>
      </c>
      <c r="E42" s="45">
        <f t="shared" si="1"/>
        <v>-831945.02</v>
      </c>
    </row>
    <row r="43" spans="1:5" ht="12.75" customHeight="1">
      <c r="A43" s="22" t="s">
        <v>12</v>
      </c>
      <c r="B43" s="47"/>
      <c r="C43" s="48"/>
      <c r="D43" s="26" t="str">
        <f t="shared" si="0"/>
        <v>   </v>
      </c>
      <c r="E43" s="45">
        <f t="shared" si="1"/>
        <v>0</v>
      </c>
    </row>
    <row r="44" spans="1:5" ht="21" customHeight="1">
      <c r="A44" s="16" t="s">
        <v>35</v>
      </c>
      <c r="B44" s="25">
        <f>SUM(B45,B47,B48)</f>
        <v>1046400</v>
      </c>
      <c r="C44" s="25">
        <f>SUM(C45,C47,C48)</f>
        <v>814964.18</v>
      </c>
      <c r="D44" s="26">
        <f t="shared" si="0"/>
        <v>77.8826624617737</v>
      </c>
      <c r="E44" s="45">
        <f t="shared" si="1"/>
        <v>-231435.81999999995</v>
      </c>
    </row>
    <row r="45" spans="1:5" ht="15" customHeight="1">
      <c r="A45" s="16" t="s">
        <v>36</v>
      </c>
      <c r="B45" s="25">
        <v>1045900</v>
      </c>
      <c r="C45" s="25">
        <v>814964.18</v>
      </c>
      <c r="D45" s="26">
        <f t="shared" si="0"/>
        <v>77.91989482742136</v>
      </c>
      <c r="E45" s="45">
        <f t="shared" si="1"/>
        <v>-230935.81999999995</v>
      </c>
    </row>
    <row r="46" spans="1:5" ht="15" customHeight="1">
      <c r="A46" s="97" t="s">
        <v>122</v>
      </c>
      <c r="B46" s="25">
        <v>716600</v>
      </c>
      <c r="C46" s="28">
        <v>583415.1</v>
      </c>
      <c r="D46" s="26">
        <f t="shared" si="0"/>
        <v>81.41433156572704</v>
      </c>
      <c r="E46" s="45">
        <f t="shared" si="1"/>
        <v>-133184.90000000002</v>
      </c>
    </row>
    <row r="47" spans="1:5" ht="12.75" customHeight="1">
      <c r="A47" s="16" t="s">
        <v>96</v>
      </c>
      <c r="B47" s="25">
        <v>500</v>
      </c>
      <c r="C47" s="27">
        <v>0</v>
      </c>
      <c r="D47" s="26">
        <f t="shared" si="0"/>
        <v>0</v>
      </c>
      <c r="E47" s="45">
        <f t="shared" si="1"/>
        <v>-500</v>
      </c>
    </row>
    <row r="48" spans="1:5" ht="12.75" customHeight="1">
      <c r="A48" s="43" t="s">
        <v>52</v>
      </c>
      <c r="B48" s="27">
        <f>SUM(B50+B49)</f>
        <v>0</v>
      </c>
      <c r="C48" s="27">
        <f>SUM(C50+C49)</f>
        <v>0</v>
      </c>
      <c r="D48" s="26" t="str">
        <f t="shared" si="0"/>
        <v>   </v>
      </c>
      <c r="E48" s="45">
        <f t="shared" si="1"/>
        <v>0</v>
      </c>
    </row>
    <row r="49" spans="1:5" ht="12.75" customHeight="1">
      <c r="A49" s="120" t="s">
        <v>195</v>
      </c>
      <c r="B49" s="27">
        <v>0</v>
      </c>
      <c r="C49" s="27">
        <v>0</v>
      </c>
      <c r="D49" s="26" t="str">
        <f>IF(B49=0,"   ",C49/B49*100)</f>
        <v>   </v>
      </c>
      <c r="E49" s="45">
        <f>C49-B49</f>
        <v>0</v>
      </c>
    </row>
    <row r="50" spans="1:5" ht="23.25" customHeight="1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21.75" customHeight="1">
      <c r="A51" s="16" t="s">
        <v>49</v>
      </c>
      <c r="B51" s="27">
        <f>SUM(B52)</f>
        <v>71300</v>
      </c>
      <c r="C51" s="27">
        <f>SUM(C52)</f>
        <v>61340.82</v>
      </c>
      <c r="D51" s="26">
        <f t="shared" si="0"/>
        <v>86.03200561009817</v>
      </c>
      <c r="E51" s="45">
        <f t="shared" si="1"/>
        <v>-9959.18</v>
      </c>
    </row>
    <row r="52" spans="1:5" ht="13.5" customHeight="1">
      <c r="A52" s="41" t="s">
        <v>108</v>
      </c>
      <c r="B52" s="25">
        <v>71300</v>
      </c>
      <c r="C52" s="27">
        <v>61340.82</v>
      </c>
      <c r="D52" s="26">
        <f t="shared" si="0"/>
        <v>86.03200561009817</v>
      </c>
      <c r="E52" s="45">
        <f t="shared" si="1"/>
        <v>-9959.18</v>
      </c>
    </row>
    <row r="53" spans="1:5" ht="16.5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8.75" customHeight="1">
      <c r="A55" s="16" t="s">
        <v>38</v>
      </c>
      <c r="B55" s="25">
        <f>SUM(B59,B56)</f>
        <v>925554</v>
      </c>
      <c r="C55" s="25">
        <f>SUM(C59,)</f>
        <v>517663</v>
      </c>
      <c r="D55" s="26">
        <f t="shared" si="0"/>
        <v>55.930069990513786</v>
      </c>
      <c r="E55" s="45">
        <f t="shared" si="1"/>
        <v>-407891</v>
      </c>
    </row>
    <row r="56" spans="1:5" ht="18.75" customHeight="1">
      <c r="A56" s="87" t="s">
        <v>178</v>
      </c>
      <c r="B56" s="25">
        <f>SUM(B57+B58)</f>
        <v>0</v>
      </c>
      <c r="C56" s="25">
        <f>SUM(C57+C58)</f>
        <v>0</v>
      </c>
      <c r="D56" s="26" t="str">
        <f>IF(B56=0,"   ",C56/B56*100)</f>
        <v>   </v>
      </c>
      <c r="E56" s="45">
        <f>C56-B56</f>
        <v>0</v>
      </c>
    </row>
    <row r="57" spans="1:5" ht="15" customHeight="1">
      <c r="A57" s="87" t="s">
        <v>179</v>
      </c>
      <c r="B57" s="25">
        <v>0</v>
      </c>
      <c r="C57" s="25">
        <v>0</v>
      </c>
      <c r="D57" s="26" t="str">
        <f>IF(B57=0,"   ",C57/B57*100)</f>
        <v>   </v>
      </c>
      <c r="E57" s="45">
        <f>C57-B57</f>
        <v>0</v>
      </c>
    </row>
    <row r="58" spans="1:5" ht="15" customHeight="1">
      <c r="A58" s="87" t="s">
        <v>227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3.5" customHeight="1">
      <c r="A59" s="16" t="s">
        <v>39</v>
      </c>
      <c r="B59" s="25">
        <f>B60+B61+B62</f>
        <v>925554</v>
      </c>
      <c r="C59" s="25">
        <f>C60+C61+C62</f>
        <v>517663</v>
      </c>
      <c r="D59" s="26">
        <f t="shared" si="0"/>
        <v>55.930069990513786</v>
      </c>
      <c r="E59" s="45">
        <f t="shared" si="1"/>
        <v>-407891</v>
      </c>
    </row>
    <row r="60" spans="1:5" ht="17.25" customHeight="1">
      <c r="A60" s="87" t="s">
        <v>158</v>
      </c>
      <c r="B60" s="25">
        <v>298854</v>
      </c>
      <c r="C60" s="25">
        <v>239754</v>
      </c>
      <c r="D60" s="26">
        <f t="shared" si="0"/>
        <v>80.22445742737257</v>
      </c>
      <c r="E60" s="45">
        <f t="shared" si="1"/>
        <v>-59100</v>
      </c>
    </row>
    <row r="61" spans="1:5" ht="24" customHeight="1">
      <c r="A61" s="82" t="s">
        <v>135</v>
      </c>
      <c r="B61" s="25">
        <v>464200</v>
      </c>
      <c r="C61" s="25">
        <v>188138</v>
      </c>
      <c r="D61" s="26">
        <f t="shared" si="0"/>
        <v>40.529513140887545</v>
      </c>
      <c r="E61" s="45">
        <f t="shared" si="1"/>
        <v>-276062</v>
      </c>
    </row>
    <row r="62" spans="1:5" ht="26.25" customHeight="1">
      <c r="A62" s="82" t="s">
        <v>136</v>
      </c>
      <c r="B62" s="25">
        <v>162500</v>
      </c>
      <c r="C62" s="25">
        <v>89771</v>
      </c>
      <c r="D62" s="26">
        <f t="shared" si="0"/>
        <v>55.24369230769231</v>
      </c>
      <c r="E62" s="45">
        <f t="shared" si="1"/>
        <v>-72729</v>
      </c>
    </row>
    <row r="63" spans="1:5" ht="20.25" customHeight="1">
      <c r="A63" s="16" t="s">
        <v>13</v>
      </c>
      <c r="B63" s="25">
        <f>B65+B64</f>
        <v>627214</v>
      </c>
      <c r="C63" s="25">
        <f>C65+C64</f>
        <v>499914.71</v>
      </c>
      <c r="D63" s="26">
        <f t="shared" si="0"/>
        <v>79.70401011457014</v>
      </c>
      <c r="E63" s="45">
        <f t="shared" si="1"/>
        <v>-127299.28999999998</v>
      </c>
    </row>
    <row r="64" spans="1:5" ht="20.25" customHeight="1">
      <c r="A64" s="43" t="s">
        <v>159</v>
      </c>
      <c r="B64" s="25">
        <v>10875</v>
      </c>
      <c r="C64" s="25">
        <v>0</v>
      </c>
      <c r="D64" s="26">
        <f t="shared" si="0"/>
        <v>0</v>
      </c>
      <c r="E64" s="45">
        <f t="shared" si="1"/>
        <v>-10875</v>
      </c>
    </row>
    <row r="65" spans="1:5" ht="12.75" customHeight="1">
      <c r="A65" s="16" t="s">
        <v>100</v>
      </c>
      <c r="B65" s="25">
        <f>B66+B67+B72+B68</f>
        <v>616339</v>
      </c>
      <c r="C65" s="25">
        <f>C66+C67+C72+C68</f>
        <v>499914.71</v>
      </c>
      <c r="D65" s="26">
        <f t="shared" si="0"/>
        <v>81.11034836348179</v>
      </c>
      <c r="E65" s="45">
        <f t="shared" si="1"/>
        <v>-116424.28999999998</v>
      </c>
    </row>
    <row r="66" spans="1:5" ht="12.75" customHeight="1">
      <c r="A66" s="16" t="s">
        <v>101</v>
      </c>
      <c r="B66" s="25">
        <v>210000</v>
      </c>
      <c r="C66" s="25">
        <v>104914.71</v>
      </c>
      <c r="D66" s="26">
        <f t="shared" si="0"/>
        <v>49.95938571428572</v>
      </c>
      <c r="E66" s="45">
        <f t="shared" si="1"/>
        <v>-105085.29</v>
      </c>
    </row>
    <row r="67" spans="1:5" ht="12.75" customHeight="1">
      <c r="A67" s="16" t="s">
        <v>61</v>
      </c>
      <c r="B67" s="25">
        <v>11339</v>
      </c>
      <c r="C67" s="27">
        <v>0</v>
      </c>
      <c r="D67" s="26">
        <v>0</v>
      </c>
      <c r="E67" s="45">
        <f t="shared" si="1"/>
        <v>-11339</v>
      </c>
    </row>
    <row r="68" spans="1:5" ht="12.75" customHeight="1">
      <c r="A68" s="120" t="s">
        <v>267</v>
      </c>
      <c r="B68" s="25">
        <f>SUM(B69:B71)</f>
        <v>395000</v>
      </c>
      <c r="C68" s="25">
        <f>SUM(C69:C71)</f>
        <v>395000</v>
      </c>
      <c r="D68" s="26">
        <v>0</v>
      </c>
      <c r="E68" s="45">
        <f>C68-B68</f>
        <v>0</v>
      </c>
    </row>
    <row r="69" spans="1:5" ht="29.25" customHeight="1">
      <c r="A69" s="120" t="s">
        <v>268</v>
      </c>
      <c r="B69" s="25">
        <v>237000</v>
      </c>
      <c r="C69" s="27">
        <v>237000</v>
      </c>
      <c r="D69" s="26">
        <f t="shared" si="0"/>
        <v>100</v>
      </c>
      <c r="E69" s="27">
        <f t="shared" si="1"/>
        <v>0</v>
      </c>
    </row>
    <row r="70" spans="1:5" ht="25.5" customHeight="1">
      <c r="A70" s="120" t="s">
        <v>269</v>
      </c>
      <c r="B70" s="25">
        <v>88000</v>
      </c>
      <c r="C70" s="27">
        <v>88000</v>
      </c>
      <c r="D70" s="26">
        <f t="shared" si="0"/>
        <v>100</v>
      </c>
      <c r="E70" s="27">
        <f t="shared" si="1"/>
        <v>0</v>
      </c>
    </row>
    <row r="71" spans="1:5" ht="23.25" customHeight="1">
      <c r="A71" s="120" t="s">
        <v>270</v>
      </c>
      <c r="B71" s="25">
        <v>70000</v>
      </c>
      <c r="C71" s="27">
        <v>70000</v>
      </c>
      <c r="D71" s="26">
        <f t="shared" si="0"/>
        <v>100</v>
      </c>
      <c r="E71" s="27">
        <f t="shared" si="1"/>
        <v>0</v>
      </c>
    </row>
    <row r="72" spans="1:5" ht="29.25" customHeight="1">
      <c r="A72" s="120" t="s">
        <v>180</v>
      </c>
      <c r="B72" s="138">
        <v>0</v>
      </c>
      <c r="C72" s="139">
        <v>0</v>
      </c>
      <c r="D72" s="26" t="str">
        <f t="shared" si="0"/>
        <v>   </v>
      </c>
      <c r="E72" s="141">
        <f t="shared" si="1"/>
        <v>0</v>
      </c>
    </row>
    <row r="73" spans="1:5" ht="20.25" customHeight="1">
      <c r="A73" s="35" t="s">
        <v>17</v>
      </c>
      <c r="B73" s="31">
        <v>8000</v>
      </c>
      <c r="C73" s="31">
        <v>8000</v>
      </c>
      <c r="D73" s="26">
        <f t="shared" si="0"/>
        <v>100</v>
      </c>
      <c r="E73" s="45">
        <f t="shared" si="1"/>
        <v>0</v>
      </c>
    </row>
    <row r="74" spans="1:5" ht="18" customHeight="1">
      <c r="A74" s="16" t="s">
        <v>41</v>
      </c>
      <c r="B74" s="24">
        <f>B75</f>
        <v>793600</v>
      </c>
      <c r="C74" s="24">
        <f>C75</f>
        <v>551825</v>
      </c>
      <c r="D74" s="26">
        <f t="shared" si="0"/>
        <v>69.5344002016129</v>
      </c>
      <c r="E74" s="45">
        <f t="shared" si="1"/>
        <v>-241775</v>
      </c>
    </row>
    <row r="75" spans="1:5" ht="12.75" customHeight="1">
      <c r="A75" s="16" t="s">
        <v>42</v>
      </c>
      <c r="B75" s="25">
        <v>793600</v>
      </c>
      <c r="C75" s="27">
        <v>551825</v>
      </c>
      <c r="D75" s="26">
        <f t="shared" si="0"/>
        <v>69.5344002016129</v>
      </c>
      <c r="E75" s="45">
        <f t="shared" si="1"/>
        <v>-241775</v>
      </c>
    </row>
    <row r="76" spans="1:5" ht="16.5" customHeight="1">
      <c r="A76" s="16" t="s">
        <v>125</v>
      </c>
      <c r="B76" s="25">
        <f>SUM(B77,)</f>
        <v>12000</v>
      </c>
      <c r="C76" s="25">
        <f>SUM(C77,)</f>
        <v>12000</v>
      </c>
      <c r="D76" s="26">
        <f t="shared" si="0"/>
        <v>100</v>
      </c>
      <c r="E76" s="45">
        <f t="shared" si="1"/>
        <v>0</v>
      </c>
    </row>
    <row r="77" spans="1:5" ht="13.5" customHeight="1">
      <c r="A77" s="16" t="s">
        <v>43</v>
      </c>
      <c r="B77" s="25">
        <v>12000</v>
      </c>
      <c r="C77" s="28">
        <v>12000</v>
      </c>
      <c r="D77" s="26">
        <f t="shared" si="0"/>
        <v>100</v>
      </c>
      <c r="E77" s="45">
        <f t="shared" si="1"/>
        <v>0</v>
      </c>
    </row>
    <row r="78" spans="1:5" ht="22.5" customHeight="1">
      <c r="A78" s="192" t="s">
        <v>15</v>
      </c>
      <c r="B78" s="167">
        <f>SUM(B44,B51,B53,B55,B63,B73,B74,B76,)</f>
        <v>3484468</v>
      </c>
      <c r="C78" s="167">
        <f>SUM(C44,C51,C53,C55,C63,C73,C74,C76,)</f>
        <v>2465707.71</v>
      </c>
      <c r="D78" s="157">
        <f>IF(B78=0,"   ",C78/B78*100)</f>
        <v>70.762816877641</v>
      </c>
      <c r="E78" s="158">
        <f t="shared" si="1"/>
        <v>-1018760.29</v>
      </c>
    </row>
    <row r="79" spans="1:5" s="69" customFormat="1" ht="23.25" customHeight="1">
      <c r="A79" s="92" t="s">
        <v>291</v>
      </c>
      <c r="B79" s="92"/>
      <c r="C79" s="247"/>
      <c r="D79" s="247"/>
      <c r="E79" s="247"/>
    </row>
    <row r="80" spans="1:5" s="69" customFormat="1" ht="18" customHeight="1">
      <c r="A80" s="92" t="s">
        <v>165</v>
      </c>
      <c r="B80" s="92"/>
      <c r="C80" s="93" t="s">
        <v>315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54">
      <selection activeCell="B67" sqref="B67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49" t="s">
        <v>308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243</v>
      </c>
      <c r="C4" s="32" t="s">
        <v>299</v>
      </c>
      <c r="D4" s="19" t="s">
        <v>246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8" t="s">
        <v>45</v>
      </c>
      <c r="B7" s="165">
        <f>SUM(B8)</f>
        <v>53300</v>
      </c>
      <c r="C7" s="165">
        <f>SUM(C8)</f>
        <v>36467.34</v>
      </c>
      <c r="D7" s="155">
        <f aca="true" t="shared" si="0" ref="D7:D78">IF(B7=0,"   ",C7/B7*100)</f>
        <v>68.4190243902439</v>
      </c>
      <c r="E7" s="156">
        <f aca="true" t="shared" si="1" ref="E7:E79">C7-B7</f>
        <v>-16832.660000000003</v>
      </c>
    </row>
    <row r="8" spans="1:5" ht="12" customHeight="1">
      <c r="A8" s="97" t="s">
        <v>44</v>
      </c>
      <c r="B8" s="96">
        <v>53300</v>
      </c>
      <c r="C8" s="169">
        <v>36467.34</v>
      </c>
      <c r="D8" s="155">
        <f t="shared" si="0"/>
        <v>68.4190243902439</v>
      </c>
      <c r="E8" s="156">
        <f t="shared" si="1"/>
        <v>-16832.660000000003</v>
      </c>
    </row>
    <row r="9" spans="1:5" ht="16.5" customHeight="1">
      <c r="A9" s="168" t="s">
        <v>144</v>
      </c>
      <c r="B9" s="165">
        <f>SUM(B10)</f>
        <v>687400</v>
      </c>
      <c r="C9" s="165">
        <f>SUM(C10)</f>
        <v>600771.91</v>
      </c>
      <c r="D9" s="155">
        <f t="shared" si="0"/>
        <v>87.39771748617981</v>
      </c>
      <c r="E9" s="156">
        <f t="shared" si="1"/>
        <v>-86628.08999999997</v>
      </c>
    </row>
    <row r="10" spans="1:5" ht="11.25" customHeight="1">
      <c r="A10" s="97" t="s">
        <v>145</v>
      </c>
      <c r="B10" s="96">
        <v>687400</v>
      </c>
      <c r="C10" s="169">
        <v>600771.91</v>
      </c>
      <c r="D10" s="155">
        <f t="shared" si="0"/>
        <v>87.39771748617981</v>
      </c>
      <c r="E10" s="156">
        <f t="shared" si="1"/>
        <v>-86628.08999999997</v>
      </c>
    </row>
    <row r="11" spans="1:5" ht="12.75">
      <c r="A11" s="97" t="s">
        <v>7</v>
      </c>
      <c r="B11" s="96">
        <f>SUM(B12:B12)</f>
        <v>82600</v>
      </c>
      <c r="C11" s="96">
        <f>SUM(C12:C12)</f>
        <v>63583.8</v>
      </c>
      <c r="D11" s="155">
        <f t="shared" si="0"/>
        <v>76.97796610169492</v>
      </c>
      <c r="E11" s="156">
        <f t="shared" si="1"/>
        <v>-19016.199999999997</v>
      </c>
    </row>
    <row r="12" spans="1:5" ht="16.5" customHeight="1">
      <c r="A12" s="97" t="s">
        <v>26</v>
      </c>
      <c r="B12" s="96">
        <v>82600</v>
      </c>
      <c r="C12" s="169">
        <v>63583.8</v>
      </c>
      <c r="D12" s="155">
        <f t="shared" si="0"/>
        <v>76.97796610169492</v>
      </c>
      <c r="E12" s="156">
        <f t="shared" si="1"/>
        <v>-19016.199999999997</v>
      </c>
    </row>
    <row r="13" spans="1:5" ht="16.5" customHeight="1">
      <c r="A13" s="97" t="s">
        <v>9</v>
      </c>
      <c r="B13" s="96">
        <f>SUM(B14:B15)</f>
        <v>675000</v>
      </c>
      <c r="C13" s="96">
        <f>SUM(C14:C15)</f>
        <v>212979.47</v>
      </c>
      <c r="D13" s="155">
        <f t="shared" si="0"/>
        <v>31.55251407407407</v>
      </c>
      <c r="E13" s="156">
        <f t="shared" si="1"/>
        <v>-462020.53</v>
      </c>
    </row>
    <row r="14" spans="1:5" ht="15" customHeight="1">
      <c r="A14" s="97" t="s">
        <v>27</v>
      </c>
      <c r="B14" s="96">
        <v>177000</v>
      </c>
      <c r="C14" s="169">
        <v>51560.32</v>
      </c>
      <c r="D14" s="155">
        <f t="shared" si="0"/>
        <v>29.130124293785308</v>
      </c>
      <c r="E14" s="156">
        <f t="shared" si="1"/>
        <v>-125439.68</v>
      </c>
    </row>
    <row r="15" spans="1:5" ht="15.75" customHeight="1">
      <c r="A15" s="43" t="s">
        <v>173</v>
      </c>
      <c r="B15" s="31">
        <f>SUM(B16:B17)</f>
        <v>498000</v>
      </c>
      <c r="C15" s="31">
        <f>SUM(C16:C17)</f>
        <v>161419.15</v>
      </c>
      <c r="D15" s="155">
        <f t="shared" si="0"/>
        <v>32.413483935742974</v>
      </c>
      <c r="E15" s="156">
        <f t="shared" si="1"/>
        <v>-336580.85</v>
      </c>
    </row>
    <row r="16" spans="1:5" ht="14.25" customHeight="1">
      <c r="A16" s="43" t="s">
        <v>174</v>
      </c>
      <c r="B16" s="31">
        <v>37300</v>
      </c>
      <c r="C16" s="79">
        <v>22792.84</v>
      </c>
      <c r="D16" s="155">
        <f t="shared" si="0"/>
        <v>61.106809651474535</v>
      </c>
      <c r="E16" s="156">
        <f t="shared" si="1"/>
        <v>-14507.16</v>
      </c>
    </row>
    <row r="17" spans="1:5" ht="12.75" customHeight="1">
      <c r="A17" s="43" t="s">
        <v>175</v>
      </c>
      <c r="B17" s="31">
        <v>460700</v>
      </c>
      <c r="C17" s="79">
        <v>138626.31</v>
      </c>
      <c r="D17" s="155">
        <f t="shared" si="0"/>
        <v>30.090364662470154</v>
      </c>
      <c r="E17" s="156">
        <f t="shared" si="1"/>
        <v>-322073.69</v>
      </c>
    </row>
    <row r="18" spans="1:5" ht="12.75" customHeight="1">
      <c r="A18" s="43" t="s">
        <v>252</v>
      </c>
      <c r="B18" s="31">
        <v>3000</v>
      </c>
      <c r="C18" s="79">
        <v>6630</v>
      </c>
      <c r="D18" s="155">
        <f t="shared" si="0"/>
        <v>221</v>
      </c>
      <c r="E18" s="156">
        <f t="shared" si="1"/>
        <v>3630</v>
      </c>
    </row>
    <row r="19" spans="1:5" ht="13.5" customHeight="1">
      <c r="A19" s="97" t="s">
        <v>88</v>
      </c>
      <c r="B19" s="96">
        <v>0</v>
      </c>
      <c r="C19" s="169">
        <v>0</v>
      </c>
      <c r="D19" s="155" t="str">
        <f t="shared" si="0"/>
        <v>   </v>
      </c>
      <c r="E19" s="156">
        <f t="shared" si="1"/>
        <v>0</v>
      </c>
    </row>
    <row r="20" spans="1:5" ht="24.75" customHeight="1">
      <c r="A20" s="97" t="s">
        <v>28</v>
      </c>
      <c r="B20" s="96">
        <f>B21+B22</f>
        <v>51400</v>
      </c>
      <c r="C20" s="96">
        <f>SUM(C21:C22)</f>
        <v>8043</v>
      </c>
      <c r="D20" s="155">
        <f t="shared" si="0"/>
        <v>15.64785992217899</v>
      </c>
      <c r="E20" s="156">
        <f t="shared" si="1"/>
        <v>-43357</v>
      </c>
    </row>
    <row r="21" spans="1:5" ht="14.25" customHeight="1">
      <c r="A21" s="43" t="s">
        <v>163</v>
      </c>
      <c r="B21" s="96">
        <v>51400</v>
      </c>
      <c r="C21" s="96">
        <v>8043</v>
      </c>
      <c r="D21" s="155">
        <f t="shared" si="0"/>
        <v>15.64785992217899</v>
      </c>
      <c r="E21" s="156">
        <f t="shared" si="1"/>
        <v>-43357</v>
      </c>
    </row>
    <row r="22" spans="1:5" ht="12" customHeight="1">
      <c r="A22" s="97" t="s">
        <v>30</v>
      </c>
      <c r="B22" s="96">
        <v>0</v>
      </c>
      <c r="C22" s="169">
        <v>0</v>
      </c>
      <c r="D22" s="155" t="str">
        <f t="shared" si="0"/>
        <v>   </v>
      </c>
      <c r="E22" s="156">
        <f t="shared" si="1"/>
        <v>0</v>
      </c>
    </row>
    <row r="23" spans="1:5" ht="12.75" customHeight="1">
      <c r="A23" s="97" t="s">
        <v>83</v>
      </c>
      <c r="B23" s="96">
        <v>0</v>
      </c>
      <c r="C23" s="169">
        <v>0</v>
      </c>
      <c r="D23" s="155" t="str">
        <f t="shared" si="0"/>
        <v>   </v>
      </c>
      <c r="E23" s="156">
        <f t="shared" si="1"/>
        <v>0</v>
      </c>
    </row>
    <row r="24" spans="1:5" ht="13.5" customHeight="1">
      <c r="A24" s="97" t="s">
        <v>78</v>
      </c>
      <c r="B24" s="96">
        <f>SUM(B25:B25)</f>
        <v>0</v>
      </c>
      <c r="C24" s="96">
        <f>SUM(C25:C25)</f>
        <v>0</v>
      </c>
      <c r="D24" s="155" t="str">
        <f t="shared" si="0"/>
        <v>   </v>
      </c>
      <c r="E24" s="156">
        <f t="shared" si="1"/>
        <v>0</v>
      </c>
    </row>
    <row r="25" spans="1:5" ht="13.5" customHeight="1">
      <c r="A25" s="97" t="s">
        <v>127</v>
      </c>
      <c r="B25" s="96">
        <v>0</v>
      </c>
      <c r="C25" s="96"/>
      <c r="D25" s="155" t="str">
        <f t="shared" si="0"/>
        <v>   </v>
      </c>
      <c r="E25" s="156"/>
    </row>
    <row r="26" spans="1:5" ht="12.75">
      <c r="A26" s="97" t="s">
        <v>32</v>
      </c>
      <c r="B26" s="96">
        <f>B27</f>
        <v>0</v>
      </c>
      <c r="C26" s="96">
        <f>C27</f>
        <v>0</v>
      </c>
      <c r="D26" s="155" t="str">
        <f t="shared" si="0"/>
        <v>   </v>
      </c>
      <c r="E26" s="156">
        <f t="shared" si="1"/>
        <v>0</v>
      </c>
    </row>
    <row r="27" spans="1:5" ht="12.75">
      <c r="A27" s="97" t="s">
        <v>50</v>
      </c>
      <c r="B27" s="96">
        <v>0</v>
      </c>
      <c r="C27" s="96">
        <v>0</v>
      </c>
      <c r="D27" s="155" t="str">
        <f t="shared" si="0"/>
        <v>   </v>
      </c>
      <c r="E27" s="156">
        <f t="shared" si="1"/>
        <v>0</v>
      </c>
    </row>
    <row r="28" spans="1:5" ht="12.75">
      <c r="A28" s="97" t="s">
        <v>31</v>
      </c>
      <c r="B28" s="96">
        <v>0</v>
      </c>
      <c r="C28" s="96">
        <v>0</v>
      </c>
      <c r="D28" s="155" t="str">
        <f t="shared" si="0"/>
        <v>   </v>
      </c>
      <c r="E28" s="156">
        <f t="shared" si="1"/>
        <v>0</v>
      </c>
    </row>
    <row r="29" spans="1:5" ht="18" customHeight="1">
      <c r="A29" s="175" t="s">
        <v>10</v>
      </c>
      <c r="B29" s="194">
        <f>B7+B9+B11+B13+B19+B20+B24+B26+B28+B18</f>
        <v>1552700</v>
      </c>
      <c r="C29" s="194">
        <f>C7+C9+C11+C13+C19+C20+C24+C26+C28+C18</f>
        <v>928475.52</v>
      </c>
      <c r="D29" s="157">
        <f t="shared" si="0"/>
        <v>59.797483093965354</v>
      </c>
      <c r="E29" s="158">
        <f t="shared" si="1"/>
        <v>-624224.48</v>
      </c>
    </row>
    <row r="30" spans="1:5" ht="18" customHeight="1">
      <c r="A30" s="176" t="s">
        <v>147</v>
      </c>
      <c r="B30" s="214">
        <f>SUM(B31:B33,B36,B39,B40)</f>
        <v>3860303</v>
      </c>
      <c r="C30" s="214">
        <f>SUM(C31:C33,C36,C39,C40)</f>
        <v>3084689.3</v>
      </c>
      <c r="D30" s="157">
        <f t="shared" si="0"/>
        <v>79.90795800226044</v>
      </c>
      <c r="E30" s="158">
        <f t="shared" si="1"/>
        <v>-775613.7000000002</v>
      </c>
    </row>
    <row r="31" spans="1:5" ht="16.5" customHeight="1">
      <c r="A31" s="177" t="s">
        <v>34</v>
      </c>
      <c r="B31" s="178">
        <v>2414400</v>
      </c>
      <c r="C31" s="178">
        <v>2008800</v>
      </c>
      <c r="D31" s="172">
        <f t="shared" si="0"/>
        <v>83.20079522862824</v>
      </c>
      <c r="E31" s="173">
        <f t="shared" si="1"/>
        <v>-405600</v>
      </c>
    </row>
    <row r="32" spans="1:5" ht="27" customHeight="1">
      <c r="A32" s="174" t="s">
        <v>51</v>
      </c>
      <c r="B32" s="170">
        <v>142500</v>
      </c>
      <c r="C32" s="170">
        <v>142500</v>
      </c>
      <c r="D32" s="172">
        <f t="shared" si="0"/>
        <v>100</v>
      </c>
      <c r="E32" s="173">
        <f t="shared" si="1"/>
        <v>0</v>
      </c>
    </row>
    <row r="33" spans="1:5" ht="27" customHeight="1">
      <c r="A33" s="174" t="s">
        <v>157</v>
      </c>
      <c r="B33" s="170">
        <f>SUM(B34:B35)</f>
        <v>1400</v>
      </c>
      <c r="C33" s="170">
        <f>SUM(C34:C35)</f>
        <v>200</v>
      </c>
      <c r="D33" s="172">
        <f t="shared" si="0"/>
        <v>14.285714285714285</v>
      </c>
      <c r="E33" s="173">
        <f t="shared" si="1"/>
        <v>-1200</v>
      </c>
    </row>
    <row r="34" spans="1:5" ht="17.25" customHeight="1">
      <c r="A34" s="124" t="s">
        <v>176</v>
      </c>
      <c r="B34" s="170">
        <v>200</v>
      </c>
      <c r="C34" s="170">
        <v>200</v>
      </c>
      <c r="D34" s="172">
        <f t="shared" si="0"/>
        <v>100</v>
      </c>
      <c r="E34" s="173">
        <f t="shared" si="1"/>
        <v>0</v>
      </c>
    </row>
    <row r="35" spans="1:5" ht="27" customHeight="1">
      <c r="A35" s="124" t="s">
        <v>177</v>
      </c>
      <c r="B35" s="170">
        <v>1200</v>
      </c>
      <c r="C35" s="170">
        <v>0</v>
      </c>
      <c r="D35" s="172">
        <f>IF(B35=0,"   ",C35/B35*100)</f>
        <v>0</v>
      </c>
      <c r="E35" s="173">
        <f>C35-B35</f>
        <v>-1200</v>
      </c>
    </row>
    <row r="36" spans="1:5" ht="17.25" customHeight="1">
      <c r="A36" s="174" t="s">
        <v>55</v>
      </c>
      <c r="B36" s="170">
        <f>B37+B38</f>
        <v>898363.4</v>
      </c>
      <c r="C36" s="170">
        <f>C37+C38</f>
        <v>657281.4</v>
      </c>
      <c r="D36" s="172">
        <f t="shared" si="0"/>
        <v>73.1643119031786</v>
      </c>
      <c r="E36" s="173">
        <f t="shared" si="1"/>
        <v>-241082</v>
      </c>
    </row>
    <row r="37" spans="1:5" s="7" customFormat="1" ht="14.25" customHeight="1">
      <c r="A37" s="56" t="s">
        <v>110</v>
      </c>
      <c r="B37" s="57">
        <v>512900</v>
      </c>
      <c r="C37" s="170">
        <v>271818</v>
      </c>
      <c r="D37" s="57">
        <f t="shared" si="0"/>
        <v>52.996295574186</v>
      </c>
      <c r="E37" s="195">
        <f t="shared" si="1"/>
        <v>-241082</v>
      </c>
    </row>
    <row r="38" spans="1:5" s="7" customFormat="1" ht="14.25" customHeight="1">
      <c r="A38" s="56" t="s">
        <v>224</v>
      </c>
      <c r="B38" s="57">
        <v>385463.4</v>
      </c>
      <c r="C38" s="170">
        <v>385463.4</v>
      </c>
      <c r="D38" s="57">
        <f t="shared" si="0"/>
        <v>100</v>
      </c>
      <c r="E38" s="195">
        <f t="shared" si="1"/>
        <v>0</v>
      </c>
    </row>
    <row r="39" spans="1:5" ht="39" customHeight="1">
      <c r="A39" s="174" t="s">
        <v>104</v>
      </c>
      <c r="B39" s="170">
        <v>211664</v>
      </c>
      <c r="C39" s="170">
        <v>211664</v>
      </c>
      <c r="D39" s="172">
        <f t="shared" si="0"/>
        <v>100</v>
      </c>
      <c r="E39" s="173">
        <f t="shared" si="1"/>
        <v>0</v>
      </c>
    </row>
    <row r="40" spans="1:5" ht="15.75" customHeight="1">
      <c r="A40" s="16" t="s">
        <v>255</v>
      </c>
      <c r="B40" s="170">
        <v>191975.6</v>
      </c>
      <c r="C40" s="170">
        <v>64243.9</v>
      </c>
      <c r="D40" s="172">
        <f t="shared" si="0"/>
        <v>33.46461737845851</v>
      </c>
      <c r="E40" s="173">
        <f t="shared" si="1"/>
        <v>-127731.70000000001</v>
      </c>
    </row>
    <row r="41" spans="1:5" ht="16.5" customHeight="1">
      <c r="A41" s="175" t="s">
        <v>11</v>
      </c>
      <c r="B41" s="167">
        <f>SUM(B29,B30,)</f>
        <v>5413003</v>
      </c>
      <c r="C41" s="167">
        <f>SUM(C29,C30,)</f>
        <v>4013164.82</v>
      </c>
      <c r="D41" s="157">
        <f t="shared" si="0"/>
        <v>74.13934224680828</v>
      </c>
      <c r="E41" s="158">
        <f t="shared" si="1"/>
        <v>-1399838.1800000002</v>
      </c>
    </row>
    <row r="42" spans="1:5" ht="20.25" customHeight="1">
      <c r="A42" s="30"/>
      <c r="B42" s="178"/>
      <c r="C42" s="170"/>
      <c r="D42" s="172" t="str">
        <f t="shared" si="0"/>
        <v>   </v>
      </c>
      <c r="E42" s="173">
        <f t="shared" si="1"/>
        <v>0</v>
      </c>
    </row>
    <row r="43" spans="1:5" ht="12.75">
      <c r="A43" s="179" t="s">
        <v>12</v>
      </c>
      <c r="B43" s="167"/>
      <c r="C43" s="180"/>
      <c r="D43" s="172" t="str">
        <f t="shared" si="0"/>
        <v>   </v>
      </c>
      <c r="E43" s="173">
        <f t="shared" si="1"/>
        <v>0</v>
      </c>
    </row>
    <row r="44" spans="1:5" ht="19.5" customHeight="1">
      <c r="A44" s="174" t="s">
        <v>35</v>
      </c>
      <c r="B44" s="170">
        <f>SUM(B45,B47,B48)</f>
        <v>1287264</v>
      </c>
      <c r="C44" s="170">
        <f>SUM(C45,C47,C48)</f>
        <v>968951.35</v>
      </c>
      <c r="D44" s="172">
        <f t="shared" si="0"/>
        <v>75.2721547405971</v>
      </c>
      <c r="E44" s="173">
        <f t="shared" si="1"/>
        <v>-318312.65</v>
      </c>
    </row>
    <row r="45" spans="1:5" ht="13.5" customHeight="1">
      <c r="A45" s="174" t="s">
        <v>36</v>
      </c>
      <c r="B45" s="170">
        <v>1075100</v>
      </c>
      <c r="C45" s="170">
        <v>757287.35</v>
      </c>
      <c r="D45" s="172">
        <f t="shared" si="0"/>
        <v>70.43878243884289</v>
      </c>
      <c r="E45" s="173">
        <f t="shared" si="1"/>
        <v>-317812.65</v>
      </c>
    </row>
    <row r="46" spans="1:5" ht="12.75">
      <c r="A46" s="174" t="s">
        <v>122</v>
      </c>
      <c r="B46" s="170">
        <v>704600</v>
      </c>
      <c r="C46" s="180">
        <v>547590.69</v>
      </c>
      <c r="D46" s="172">
        <f t="shared" si="0"/>
        <v>77.71653278455861</v>
      </c>
      <c r="E46" s="173">
        <f t="shared" si="1"/>
        <v>-157009.31000000006</v>
      </c>
    </row>
    <row r="47" spans="1:5" ht="12.75">
      <c r="A47" s="174" t="s">
        <v>96</v>
      </c>
      <c r="B47" s="170">
        <v>500</v>
      </c>
      <c r="C47" s="171">
        <v>0</v>
      </c>
      <c r="D47" s="172">
        <f t="shared" si="0"/>
        <v>0</v>
      </c>
      <c r="E47" s="173">
        <f t="shared" si="1"/>
        <v>-500</v>
      </c>
    </row>
    <row r="48" spans="1:5" ht="12.75">
      <c r="A48" s="43" t="s">
        <v>52</v>
      </c>
      <c r="B48" s="171">
        <f>SUM(B49+B50)</f>
        <v>211664</v>
      </c>
      <c r="C48" s="171">
        <f>SUM(C49+C50)</f>
        <v>211664</v>
      </c>
      <c r="D48" s="172">
        <f>IF(B48=0,"   ",C48/B48*100)</f>
        <v>100</v>
      </c>
      <c r="E48" s="173">
        <f>C48-B48</f>
        <v>0</v>
      </c>
    </row>
    <row r="49" spans="1:5" ht="25.5">
      <c r="A49" s="120" t="s">
        <v>166</v>
      </c>
      <c r="B49" s="170">
        <v>0</v>
      </c>
      <c r="C49" s="171">
        <v>0</v>
      </c>
      <c r="D49" s="172" t="str">
        <f>IF(B49=0,"   ",C49/B49*100)</f>
        <v>   </v>
      </c>
      <c r="E49" s="173">
        <f>C49-B49</f>
        <v>0</v>
      </c>
    </row>
    <row r="50" spans="1:5" ht="12.75">
      <c r="A50" s="120" t="s">
        <v>284</v>
      </c>
      <c r="B50" s="170">
        <v>211664</v>
      </c>
      <c r="C50" s="171">
        <v>211664</v>
      </c>
      <c r="D50" s="172">
        <f>IF(B50=0,"   ",C50/B50*100)</f>
        <v>100</v>
      </c>
      <c r="E50" s="173">
        <f>C50-B50</f>
        <v>0</v>
      </c>
    </row>
    <row r="51" spans="1:5" ht="18.75" customHeight="1">
      <c r="A51" s="174" t="s">
        <v>49</v>
      </c>
      <c r="B51" s="171">
        <f>SUM(B52)</f>
        <v>142500</v>
      </c>
      <c r="C51" s="171">
        <f>SUM(C52)</f>
        <v>121716.37</v>
      </c>
      <c r="D51" s="172">
        <f t="shared" si="0"/>
        <v>85.41499649122807</v>
      </c>
      <c r="E51" s="173">
        <f t="shared" si="1"/>
        <v>-20783.630000000005</v>
      </c>
    </row>
    <row r="52" spans="1:5" ht="13.5" customHeight="1">
      <c r="A52" s="56" t="s">
        <v>108</v>
      </c>
      <c r="B52" s="170">
        <v>142500</v>
      </c>
      <c r="C52" s="171">
        <v>121716.37</v>
      </c>
      <c r="D52" s="172">
        <f t="shared" si="0"/>
        <v>85.41499649122807</v>
      </c>
      <c r="E52" s="173">
        <f t="shared" si="1"/>
        <v>-20783.630000000005</v>
      </c>
    </row>
    <row r="53" spans="1:5" ht="17.25" customHeight="1">
      <c r="A53" s="174" t="s">
        <v>37</v>
      </c>
      <c r="B53" s="170">
        <f>SUM(B54)</f>
        <v>400</v>
      </c>
      <c r="C53" s="170">
        <f>SUM(C54)</f>
        <v>0</v>
      </c>
      <c r="D53" s="172">
        <f t="shared" si="0"/>
        <v>0</v>
      </c>
      <c r="E53" s="173">
        <f t="shared" si="1"/>
        <v>-400</v>
      </c>
    </row>
    <row r="54" spans="1:5" ht="15" customHeight="1">
      <c r="A54" s="87" t="s">
        <v>130</v>
      </c>
      <c r="B54" s="170">
        <v>400</v>
      </c>
      <c r="C54" s="171">
        <v>0</v>
      </c>
      <c r="D54" s="172">
        <f t="shared" si="0"/>
        <v>0</v>
      </c>
      <c r="E54" s="173">
        <f t="shared" si="1"/>
        <v>-400</v>
      </c>
    </row>
    <row r="55" spans="1:5" ht="15.75" customHeight="1">
      <c r="A55" s="174" t="s">
        <v>38</v>
      </c>
      <c r="B55" s="170">
        <f>B59+B56</f>
        <v>693700</v>
      </c>
      <c r="C55" s="170">
        <f>C59+C56</f>
        <v>321303.73</v>
      </c>
      <c r="D55" s="172">
        <f t="shared" si="0"/>
        <v>46.31738936139541</v>
      </c>
      <c r="E55" s="173">
        <f t="shared" si="1"/>
        <v>-372396.27</v>
      </c>
    </row>
    <row r="56" spans="1:5" ht="15.75" customHeight="1">
      <c r="A56" s="87" t="s">
        <v>178</v>
      </c>
      <c r="B56" s="25">
        <f>SUM(B57+B58)</f>
        <v>1200</v>
      </c>
      <c r="C56" s="25">
        <f>SUM(C57+C58)</f>
        <v>0</v>
      </c>
      <c r="D56" s="172">
        <f>IF(B56=0,"   ",C56/B56*100)</f>
        <v>0</v>
      </c>
      <c r="E56" s="173">
        <f>C56-B56</f>
        <v>-1200</v>
      </c>
    </row>
    <row r="57" spans="1:5" ht="15.75" customHeight="1">
      <c r="A57" s="87" t="s">
        <v>179</v>
      </c>
      <c r="B57" s="25">
        <v>1200</v>
      </c>
      <c r="C57" s="170">
        <v>0</v>
      </c>
      <c r="D57" s="172">
        <f>IF(B57=0,"   ",C57/B57*100)</f>
        <v>0</v>
      </c>
      <c r="E57" s="173">
        <f>C57-B57</f>
        <v>-1200</v>
      </c>
    </row>
    <row r="58" spans="1:5" ht="15.75" customHeight="1">
      <c r="A58" s="87" t="s">
        <v>227</v>
      </c>
      <c r="B58" s="25">
        <v>0</v>
      </c>
      <c r="C58" s="170">
        <v>0</v>
      </c>
      <c r="D58" s="172"/>
      <c r="E58" s="173"/>
    </row>
    <row r="59" spans="1:5" ht="12.75">
      <c r="A59" s="182" t="s">
        <v>134</v>
      </c>
      <c r="B59" s="170">
        <f>B61+B62+B60</f>
        <v>692500</v>
      </c>
      <c r="C59" s="170">
        <f>C61+C62+C60</f>
        <v>321303.73</v>
      </c>
      <c r="D59" s="172">
        <f t="shared" si="0"/>
        <v>46.39765054151624</v>
      </c>
      <c r="E59" s="173">
        <f t="shared" si="1"/>
        <v>-371196.27</v>
      </c>
    </row>
    <row r="60" spans="1:5" ht="21.75" customHeight="1">
      <c r="A60" s="183" t="s">
        <v>158</v>
      </c>
      <c r="B60" s="170">
        <v>0</v>
      </c>
      <c r="C60" s="170">
        <v>0</v>
      </c>
      <c r="D60" s="172" t="str">
        <f t="shared" si="0"/>
        <v>   </v>
      </c>
      <c r="E60" s="173">
        <f t="shared" si="1"/>
        <v>0</v>
      </c>
    </row>
    <row r="61" spans="1:5" ht="22.5" customHeight="1">
      <c r="A61" s="181" t="s">
        <v>135</v>
      </c>
      <c r="B61" s="170">
        <v>512900</v>
      </c>
      <c r="C61" s="170">
        <v>200715</v>
      </c>
      <c r="D61" s="172">
        <f t="shared" si="0"/>
        <v>39.13335932930396</v>
      </c>
      <c r="E61" s="173">
        <f t="shared" si="1"/>
        <v>-312185</v>
      </c>
    </row>
    <row r="62" spans="1:5" ht="23.25" customHeight="1">
      <c r="A62" s="181" t="s">
        <v>136</v>
      </c>
      <c r="B62" s="170">
        <v>179600</v>
      </c>
      <c r="C62" s="170">
        <v>120588.73</v>
      </c>
      <c r="D62" s="172">
        <f t="shared" si="0"/>
        <v>67.14294543429844</v>
      </c>
      <c r="E62" s="173">
        <f t="shared" si="1"/>
        <v>-59011.270000000004</v>
      </c>
    </row>
    <row r="63" spans="1:5" ht="17.25" customHeight="1">
      <c r="A63" s="174" t="s">
        <v>13</v>
      </c>
      <c r="B63" s="170">
        <f>SUM(B69,B64)</f>
        <v>1122339</v>
      </c>
      <c r="C63" s="170">
        <f>C64+C69</f>
        <v>908614.4800000001</v>
      </c>
      <c r="D63" s="172">
        <f t="shared" si="0"/>
        <v>80.95722237220663</v>
      </c>
      <c r="E63" s="173">
        <f t="shared" si="1"/>
        <v>-213724.5199999999</v>
      </c>
    </row>
    <row r="64" spans="1:5" ht="15.75" customHeight="1">
      <c r="A64" s="174" t="s">
        <v>91</v>
      </c>
      <c r="B64" s="170">
        <f>B65</f>
        <v>642439.0000000001</v>
      </c>
      <c r="C64" s="170">
        <f>C65</f>
        <v>642439.0000000001</v>
      </c>
      <c r="D64" s="172">
        <f t="shared" si="0"/>
        <v>100</v>
      </c>
      <c r="E64" s="173">
        <f t="shared" si="1"/>
        <v>0</v>
      </c>
    </row>
    <row r="65" spans="1:5" ht="15.75" customHeight="1">
      <c r="A65" s="120" t="s">
        <v>265</v>
      </c>
      <c r="B65" s="170">
        <f>B67+B66+B68</f>
        <v>642439.0000000001</v>
      </c>
      <c r="C65" s="170">
        <f>C67+C66+C68</f>
        <v>642439.0000000001</v>
      </c>
      <c r="D65" s="172">
        <f>IF(B65=0,"   ",C65/B65*100)</f>
        <v>100</v>
      </c>
      <c r="E65" s="173">
        <f>C65-B65</f>
        <v>0</v>
      </c>
    </row>
    <row r="66" spans="1:5" ht="27.75" customHeight="1">
      <c r="A66" s="120" t="s">
        <v>223</v>
      </c>
      <c r="B66" s="170">
        <v>385463.4</v>
      </c>
      <c r="C66" s="170">
        <v>385463.4</v>
      </c>
      <c r="D66" s="172">
        <f t="shared" si="0"/>
        <v>100</v>
      </c>
      <c r="E66" s="173">
        <f t="shared" si="1"/>
        <v>0</v>
      </c>
    </row>
    <row r="67" spans="1:5" ht="27.75" customHeight="1">
      <c r="A67" s="120" t="s">
        <v>256</v>
      </c>
      <c r="B67" s="170">
        <v>192731.7</v>
      </c>
      <c r="C67" s="170">
        <v>192731.7</v>
      </c>
      <c r="D67" s="172">
        <f t="shared" si="0"/>
        <v>100</v>
      </c>
      <c r="E67" s="173">
        <f t="shared" si="1"/>
        <v>0</v>
      </c>
    </row>
    <row r="68" spans="1:5" ht="27.75" customHeight="1">
      <c r="A68" s="120" t="s">
        <v>271</v>
      </c>
      <c r="B68" s="170">
        <v>64243.9</v>
      </c>
      <c r="C68" s="170">
        <v>64243.9</v>
      </c>
      <c r="D68" s="172">
        <f t="shared" si="0"/>
        <v>100</v>
      </c>
      <c r="E68" s="173">
        <f t="shared" si="1"/>
        <v>0</v>
      </c>
    </row>
    <row r="69" spans="1:5" ht="12.75">
      <c r="A69" s="174" t="s">
        <v>58</v>
      </c>
      <c r="B69" s="170">
        <f>B70+B71+B72+B73</f>
        <v>479900</v>
      </c>
      <c r="C69" s="170">
        <f>C70+C71+C72+C73</f>
        <v>266175.48</v>
      </c>
      <c r="D69" s="172">
        <f t="shared" si="0"/>
        <v>55.464780162533856</v>
      </c>
      <c r="E69" s="173">
        <f t="shared" si="1"/>
        <v>-213724.52000000002</v>
      </c>
    </row>
    <row r="70" spans="1:5" ht="12.75">
      <c r="A70" s="174" t="s">
        <v>56</v>
      </c>
      <c r="B70" s="170">
        <v>450000</v>
      </c>
      <c r="C70" s="170">
        <v>249800</v>
      </c>
      <c r="D70" s="172">
        <f t="shared" si="0"/>
        <v>55.51111111111111</v>
      </c>
      <c r="E70" s="173">
        <f t="shared" si="1"/>
        <v>-200200</v>
      </c>
    </row>
    <row r="71" spans="1:5" ht="12.75">
      <c r="A71" s="174" t="s">
        <v>59</v>
      </c>
      <c r="B71" s="170">
        <v>29900</v>
      </c>
      <c r="C71" s="171">
        <v>16375.48</v>
      </c>
      <c r="D71" s="172">
        <f t="shared" si="0"/>
        <v>54.76749163879598</v>
      </c>
      <c r="E71" s="173">
        <f t="shared" si="1"/>
        <v>-13524.52</v>
      </c>
    </row>
    <row r="72" spans="1:5" ht="25.5">
      <c r="A72" s="120" t="s">
        <v>180</v>
      </c>
      <c r="B72" s="170">
        <v>0</v>
      </c>
      <c r="C72" s="171">
        <v>0</v>
      </c>
      <c r="D72" s="172" t="str">
        <f t="shared" si="0"/>
        <v>   </v>
      </c>
      <c r="E72" s="173">
        <f t="shared" si="1"/>
        <v>0</v>
      </c>
    </row>
    <row r="73" spans="1:5" ht="12.75" customHeight="1">
      <c r="A73" s="16" t="s">
        <v>95</v>
      </c>
      <c r="B73" s="170">
        <v>0</v>
      </c>
      <c r="C73" s="171">
        <v>0</v>
      </c>
      <c r="D73" s="172" t="str">
        <f t="shared" si="0"/>
        <v>   </v>
      </c>
      <c r="E73" s="173">
        <f t="shared" si="1"/>
        <v>0</v>
      </c>
    </row>
    <row r="74" spans="1:5" ht="12.75" customHeight="1">
      <c r="A74" s="184" t="s">
        <v>17</v>
      </c>
      <c r="B74" s="185">
        <v>0</v>
      </c>
      <c r="C74" s="185">
        <v>0</v>
      </c>
      <c r="D74" s="186" t="str">
        <f t="shared" si="0"/>
        <v>   </v>
      </c>
      <c r="E74" s="187">
        <f t="shared" si="1"/>
        <v>0</v>
      </c>
    </row>
    <row r="75" spans="1:5" ht="19.5" customHeight="1">
      <c r="A75" s="188" t="s">
        <v>41</v>
      </c>
      <c r="B75" s="189">
        <f>B76</f>
        <v>2166800</v>
      </c>
      <c r="C75" s="189">
        <f>C76</f>
        <v>1350068.3</v>
      </c>
      <c r="D75" s="186">
        <f t="shared" si="0"/>
        <v>62.30701033782536</v>
      </c>
      <c r="E75" s="187">
        <f t="shared" si="1"/>
        <v>-816731.7</v>
      </c>
    </row>
    <row r="76" spans="1:5" ht="15" customHeight="1">
      <c r="A76" s="188" t="s">
        <v>42</v>
      </c>
      <c r="B76" s="185">
        <v>2166800</v>
      </c>
      <c r="C76" s="190">
        <v>1350068.3</v>
      </c>
      <c r="D76" s="186">
        <f t="shared" si="0"/>
        <v>62.30701033782536</v>
      </c>
      <c r="E76" s="187">
        <f t="shared" si="1"/>
        <v>-816731.7</v>
      </c>
    </row>
    <row r="77" spans="1:5" ht="14.25" customHeight="1">
      <c r="A77" s="188" t="s">
        <v>125</v>
      </c>
      <c r="B77" s="185">
        <f>SUM(B78,)</f>
        <v>0</v>
      </c>
      <c r="C77" s="185">
        <f>SUM(C78,)</f>
        <v>0</v>
      </c>
      <c r="D77" s="186" t="str">
        <f t="shared" si="0"/>
        <v>   </v>
      </c>
      <c r="E77" s="187">
        <f t="shared" si="1"/>
        <v>0</v>
      </c>
    </row>
    <row r="78" spans="1:5" ht="12.75">
      <c r="A78" s="188" t="s">
        <v>43</v>
      </c>
      <c r="B78" s="185">
        <v>0</v>
      </c>
      <c r="C78" s="191">
        <v>0</v>
      </c>
      <c r="D78" s="186" t="str">
        <f t="shared" si="0"/>
        <v>   </v>
      </c>
      <c r="E78" s="187">
        <f t="shared" si="1"/>
        <v>0</v>
      </c>
    </row>
    <row r="79" spans="1:5" ht="23.25" customHeight="1">
      <c r="A79" s="175" t="s">
        <v>15</v>
      </c>
      <c r="B79" s="167">
        <f>SUM(B44,B51,B53,B55,B63,B74,B75,B77,)</f>
        <v>5413003</v>
      </c>
      <c r="C79" s="167">
        <f>SUM(C44,C51,C53,C55,C63,C74,C75,C77,)</f>
        <v>3670654.2300000004</v>
      </c>
      <c r="D79" s="157">
        <f>IF(B79=0,"   ",C79/B79*100)</f>
        <v>67.81179005443005</v>
      </c>
      <c r="E79" s="158">
        <f t="shared" si="1"/>
        <v>-1742348.7699999996</v>
      </c>
    </row>
    <row r="80" spans="1:5" s="69" customFormat="1" ht="23.25" customHeight="1">
      <c r="A80" s="92" t="s">
        <v>291</v>
      </c>
      <c r="B80" s="92"/>
      <c r="C80" s="247"/>
      <c r="D80" s="247"/>
      <c r="E80" s="247"/>
    </row>
    <row r="81" spans="1:5" s="69" customFormat="1" ht="12" customHeight="1">
      <c r="A81" s="92" t="s">
        <v>165</v>
      </c>
      <c r="B81" s="92"/>
      <c r="C81" s="93" t="s">
        <v>315</v>
      </c>
      <c r="D81" s="94"/>
      <c r="E81" s="95"/>
    </row>
    <row r="82" spans="1:5" ht="12.75">
      <c r="A82" s="196"/>
      <c r="B82" s="196"/>
      <c r="C82" s="197"/>
      <c r="D82" s="196"/>
      <c r="E82" s="198"/>
    </row>
    <row r="83" spans="1:5" ht="12.75">
      <c r="A83" s="196"/>
      <c r="B83" s="196"/>
      <c r="C83" s="197"/>
      <c r="D83" s="196"/>
      <c r="E83" s="198"/>
    </row>
    <row r="84" spans="1:5" ht="12.75">
      <c r="A84" s="199"/>
      <c r="B84" s="199"/>
      <c r="C84" s="199"/>
      <c r="D84" s="199"/>
      <c r="E84" s="199"/>
    </row>
    <row r="85" spans="1:5" ht="12.75">
      <c r="A85" s="199"/>
      <c r="B85" s="199"/>
      <c r="C85" s="199"/>
      <c r="D85" s="199"/>
      <c r="E85" s="199"/>
    </row>
    <row r="86" spans="1:5" ht="12.75">
      <c r="A86" s="199"/>
      <c r="B86" s="199"/>
      <c r="C86" s="199"/>
      <c r="D86" s="199"/>
      <c r="E86" s="199"/>
    </row>
    <row r="87" spans="1:5" ht="12.75">
      <c r="A87" s="199"/>
      <c r="B87" s="199"/>
      <c r="C87" s="199"/>
      <c r="D87" s="199"/>
      <c r="E87" s="199"/>
    </row>
    <row r="88" spans="1:5" ht="12.75">
      <c r="A88" s="199"/>
      <c r="B88" s="199"/>
      <c r="C88" s="199"/>
      <c r="D88" s="199"/>
      <c r="E88" s="199"/>
    </row>
    <row r="89" spans="1:5" ht="12.75">
      <c r="A89" s="199"/>
      <c r="B89" s="199"/>
      <c r="C89" s="199"/>
      <c r="D89" s="199"/>
      <c r="E89" s="199"/>
    </row>
  </sheetData>
  <sheetProtection/>
  <mergeCells count="2">
    <mergeCell ref="A1:E1"/>
    <mergeCell ref="C80:E80"/>
  </mergeCells>
  <printOptions/>
  <pageMargins left="1.141732283464567" right="0.5511811023622047" top="0.4724409448818898" bottom="0.4724409448818898" header="0.5118110236220472" footer="0.5118110236220472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54">
      <selection activeCell="C41" sqref="C41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49" t="s">
        <v>307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243</v>
      </c>
      <c r="C4" s="32" t="s">
        <v>299</v>
      </c>
      <c r="D4" s="19" t="s">
        <v>244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65">
        <f>SUM(B8)</f>
        <v>70100</v>
      </c>
      <c r="C7" s="165">
        <f>C8</f>
        <v>47641.29</v>
      </c>
      <c r="D7" s="155">
        <f aca="true" t="shared" si="0" ref="D7:D77">IF(B7=0,"   ",C7/B7*100)</f>
        <v>67.9618972895863</v>
      </c>
      <c r="E7" s="156">
        <f aca="true" t="shared" si="1" ref="E7:E78">C7-B7</f>
        <v>-22458.71</v>
      </c>
    </row>
    <row r="8" spans="1:5" ht="12.75">
      <c r="A8" s="16" t="s">
        <v>44</v>
      </c>
      <c r="B8" s="96">
        <v>70100</v>
      </c>
      <c r="C8" s="169">
        <v>47641.29</v>
      </c>
      <c r="D8" s="155">
        <f t="shared" si="0"/>
        <v>67.9618972895863</v>
      </c>
      <c r="E8" s="156">
        <f t="shared" si="1"/>
        <v>-22458.71</v>
      </c>
    </row>
    <row r="9" spans="1:5" ht="12.75">
      <c r="A9" s="74" t="s">
        <v>144</v>
      </c>
      <c r="B9" s="165">
        <f>SUM(B10)</f>
        <v>429100</v>
      </c>
      <c r="C9" s="165">
        <f>SUM(C10)</f>
        <v>375016.06</v>
      </c>
      <c r="D9" s="155">
        <f t="shared" si="0"/>
        <v>87.39595898391983</v>
      </c>
      <c r="E9" s="156">
        <f t="shared" si="1"/>
        <v>-54083.94</v>
      </c>
    </row>
    <row r="10" spans="1:5" ht="12.75">
      <c r="A10" s="43" t="s">
        <v>145</v>
      </c>
      <c r="B10" s="96">
        <v>429100</v>
      </c>
      <c r="C10" s="169">
        <v>375016.06</v>
      </c>
      <c r="D10" s="155">
        <f t="shared" si="0"/>
        <v>87.39595898391983</v>
      </c>
      <c r="E10" s="156">
        <f t="shared" si="1"/>
        <v>-54083.94</v>
      </c>
    </row>
    <row r="11" spans="1:5" ht="13.5" customHeight="1">
      <c r="A11" s="16" t="s">
        <v>7</v>
      </c>
      <c r="B11" s="96">
        <f>SUM(B12:B12)</f>
        <v>18400</v>
      </c>
      <c r="C11" s="96">
        <f>SUM(C12:C12)</f>
        <v>37641.6</v>
      </c>
      <c r="D11" s="155">
        <f t="shared" si="0"/>
        <v>204.57391304347829</v>
      </c>
      <c r="E11" s="156">
        <f t="shared" si="1"/>
        <v>19241.6</v>
      </c>
    </row>
    <row r="12" spans="1:5" ht="13.5" customHeight="1">
      <c r="A12" s="16" t="s">
        <v>26</v>
      </c>
      <c r="B12" s="96">
        <v>18400</v>
      </c>
      <c r="C12" s="169">
        <v>37641.6</v>
      </c>
      <c r="D12" s="155">
        <f t="shared" si="0"/>
        <v>204.57391304347829</v>
      </c>
      <c r="E12" s="156">
        <f t="shared" si="1"/>
        <v>19241.6</v>
      </c>
    </row>
    <row r="13" spans="1:5" ht="12.75">
      <c r="A13" s="16" t="s">
        <v>9</v>
      </c>
      <c r="B13" s="96">
        <f>SUM(B14:B15)</f>
        <v>379000</v>
      </c>
      <c r="C13" s="96">
        <f>SUM(C14:C15)</f>
        <v>323970.16000000003</v>
      </c>
      <c r="D13" s="155">
        <f t="shared" si="0"/>
        <v>85.48025329815304</v>
      </c>
      <c r="E13" s="156">
        <f t="shared" si="1"/>
        <v>-55029.83999999997</v>
      </c>
    </row>
    <row r="14" spans="1:5" ht="19.5" customHeight="1">
      <c r="A14" s="16" t="s">
        <v>27</v>
      </c>
      <c r="B14" s="96">
        <v>51000</v>
      </c>
      <c r="C14" s="169">
        <v>97532.35</v>
      </c>
      <c r="D14" s="155">
        <f t="shared" si="0"/>
        <v>191.23990196078432</v>
      </c>
      <c r="E14" s="156">
        <f t="shared" si="1"/>
        <v>46532.350000000006</v>
      </c>
    </row>
    <row r="15" spans="1:5" ht="18.75" customHeight="1">
      <c r="A15" s="43" t="s">
        <v>173</v>
      </c>
      <c r="B15" s="31">
        <f>SUM(B16:B17)</f>
        <v>328000</v>
      </c>
      <c r="C15" s="31">
        <f>SUM(C16:C17)</f>
        <v>226437.81</v>
      </c>
      <c r="D15" s="155">
        <f t="shared" si="0"/>
        <v>69.03591768292682</v>
      </c>
      <c r="E15" s="156">
        <f t="shared" si="1"/>
        <v>-101562.19</v>
      </c>
    </row>
    <row r="16" spans="1:5" ht="18.75" customHeight="1">
      <c r="A16" s="43" t="s">
        <v>174</v>
      </c>
      <c r="B16" s="31">
        <v>67200</v>
      </c>
      <c r="C16" s="79">
        <v>40639.23</v>
      </c>
      <c r="D16" s="155">
        <f t="shared" si="0"/>
        <v>60.47504464285714</v>
      </c>
      <c r="E16" s="156">
        <f t="shared" si="1"/>
        <v>-26560.769999999997</v>
      </c>
    </row>
    <row r="17" spans="1:5" ht="18" customHeight="1">
      <c r="A17" s="43" t="s">
        <v>175</v>
      </c>
      <c r="B17" s="31">
        <v>260800</v>
      </c>
      <c r="C17" s="79">
        <v>185798.58</v>
      </c>
      <c r="D17" s="155">
        <f t="shared" si="0"/>
        <v>71.24178680981595</v>
      </c>
      <c r="E17" s="156">
        <f t="shared" si="1"/>
        <v>-75001.42000000001</v>
      </c>
    </row>
    <row r="18" spans="1:5" ht="15" customHeight="1">
      <c r="A18" s="16" t="s">
        <v>88</v>
      </c>
      <c r="B18" s="96">
        <v>0</v>
      </c>
      <c r="C18" s="169">
        <v>0</v>
      </c>
      <c r="D18" s="155" t="str">
        <f t="shared" si="0"/>
        <v>   </v>
      </c>
      <c r="E18" s="156">
        <f t="shared" si="1"/>
        <v>0</v>
      </c>
    </row>
    <row r="19" spans="1:5" ht="26.25" customHeight="1">
      <c r="A19" s="16" t="s">
        <v>28</v>
      </c>
      <c r="B19" s="96">
        <f>B21+B20</f>
        <v>71900</v>
      </c>
      <c r="C19" s="165">
        <f>SUM(C20:C21)</f>
        <v>5000</v>
      </c>
      <c r="D19" s="155">
        <f t="shared" si="0"/>
        <v>6.954102920723226</v>
      </c>
      <c r="E19" s="156">
        <f t="shared" si="1"/>
        <v>-66900</v>
      </c>
    </row>
    <row r="20" spans="1:5" ht="15.75" customHeight="1">
      <c r="A20" s="43" t="s">
        <v>163</v>
      </c>
      <c r="B20" s="96">
        <v>61000</v>
      </c>
      <c r="C20" s="169">
        <v>5000</v>
      </c>
      <c r="D20" s="155">
        <f t="shared" si="0"/>
        <v>8.19672131147541</v>
      </c>
      <c r="E20" s="156">
        <f t="shared" si="1"/>
        <v>-56000</v>
      </c>
    </row>
    <row r="21" spans="1:5" ht="15" customHeight="1">
      <c r="A21" s="16" t="s">
        <v>30</v>
      </c>
      <c r="B21" s="96">
        <v>10900</v>
      </c>
      <c r="C21" s="169">
        <v>0</v>
      </c>
      <c r="D21" s="155">
        <f t="shared" si="0"/>
        <v>0</v>
      </c>
      <c r="E21" s="156">
        <f t="shared" si="1"/>
        <v>-10900</v>
      </c>
    </row>
    <row r="22" spans="1:5" ht="18.75" customHeight="1">
      <c r="A22" s="41" t="s">
        <v>92</v>
      </c>
      <c r="B22" s="96">
        <v>0</v>
      </c>
      <c r="C22" s="169">
        <v>0</v>
      </c>
      <c r="D22" s="155" t="str">
        <f t="shared" si="0"/>
        <v>   </v>
      </c>
      <c r="E22" s="156">
        <f t="shared" si="1"/>
        <v>0</v>
      </c>
    </row>
    <row r="23" spans="1:5" ht="18.75" customHeight="1">
      <c r="A23" s="16" t="s">
        <v>76</v>
      </c>
      <c r="B23" s="96">
        <f>SUM(B24)</f>
        <v>0</v>
      </c>
      <c r="C23" s="96">
        <f>SUM(C24)</f>
        <v>0</v>
      </c>
      <c r="D23" s="155" t="str">
        <f t="shared" si="0"/>
        <v>   </v>
      </c>
      <c r="E23" s="156">
        <f t="shared" si="1"/>
        <v>0</v>
      </c>
    </row>
    <row r="24" spans="1:5" ht="24.75" customHeight="1">
      <c r="A24" s="16" t="s">
        <v>77</v>
      </c>
      <c r="B24" s="96">
        <v>0</v>
      </c>
      <c r="C24" s="169">
        <v>0</v>
      </c>
      <c r="D24" s="155" t="str">
        <f t="shared" si="0"/>
        <v>   </v>
      </c>
      <c r="E24" s="156">
        <f t="shared" si="1"/>
        <v>0</v>
      </c>
    </row>
    <row r="25" spans="1:5" ht="17.25" customHeight="1">
      <c r="A25" s="16" t="s">
        <v>32</v>
      </c>
      <c r="B25" s="165">
        <f>B26+B27</f>
        <v>0</v>
      </c>
      <c r="C25" s="165">
        <f>C26+C27</f>
        <v>0</v>
      </c>
      <c r="D25" s="155" t="str">
        <f t="shared" si="0"/>
        <v>   </v>
      </c>
      <c r="E25" s="156">
        <f t="shared" si="1"/>
        <v>0</v>
      </c>
    </row>
    <row r="26" spans="1:5" ht="14.25" customHeight="1">
      <c r="A26" s="16" t="s">
        <v>141</v>
      </c>
      <c r="B26" s="96">
        <v>0</v>
      </c>
      <c r="C26" s="169">
        <v>0</v>
      </c>
      <c r="D26" s="155" t="str">
        <f t="shared" si="0"/>
        <v>   </v>
      </c>
      <c r="E26" s="156">
        <f t="shared" si="1"/>
        <v>0</v>
      </c>
    </row>
    <row r="27" spans="1:5" ht="14.25" customHeight="1">
      <c r="A27" s="16" t="s">
        <v>111</v>
      </c>
      <c r="B27" s="96">
        <v>0</v>
      </c>
      <c r="C27" s="96">
        <v>0</v>
      </c>
      <c r="D27" s="155" t="str">
        <f t="shared" si="0"/>
        <v>   </v>
      </c>
      <c r="E27" s="156">
        <f t="shared" si="1"/>
        <v>0</v>
      </c>
    </row>
    <row r="28" spans="1:5" ht="18" customHeight="1">
      <c r="A28" s="192" t="s">
        <v>10</v>
      </c>
      <c r="B28" s="167">
        <f>SUM(B7,B9,B11,B13,B18,B19,B22,B23,B26,B27,)</f>
        <v>968500</v>
      </c>
      <c r="C28" s="167">
        <f>SUM(C7,C9,C11,C13,C18,C19,C22,C23,C26,C27,)</f>
        <v>789269.11</v>
      </c>
      <c r="D28" s="172">
        <f t="shared" si="0"/>
        <v>81.49397108931336</v>
      </c>
      <c r="E28" s="173">
        <f t="shared" si="1"/>
        <v>-179230.89</v>
      </c>
    </row>
    <row r="29" spans="1:5" ht="18" customHeight="1">
      <c r="A29" s="164" t="s">
        <v>147</v>
      </c>
      <c r="B29" s="214">
        <f>SUM(B30:B32,B35,B38+B40)</f>
        <v>1878634.4</v>
      </c>
      <c r="C29" s="214">
        <f>SUM(C30:C32,C35,C38+C40)</f>
        <v>1313017.5999999999</v>
      </c>
      <c r="D29" s="157">
        <f t="shared" si="0"/>
        <v>69.89213015581956</v>
      </c>
      <c r="E29" s="158">
        <f t="shared" si="1"/>
        <v>-565616.8</v>
      </c>
    </row>
    <row r="30" spans="1:5" ht="16.5" customHeight="1">
      <c r="A30" s="74" t="s">
        <v>34</v>
      </c>
      <c r="B30" s="178">
        <v>714200</v>
      </c>
      <c r="C30" s="178">
        <v>594400</v>
      </c>
      <c r="D30" s="172">
        <f t="shared" si="0"/>
        <v>83.22598711845421</v>
      </c>
      <c r="E30" s="173">
        <f t="shared" si="1"/>
        <v>-119800</v>
      </c>
    </row>
    <row r="31" spans="1:5" ht="24.75" customHeight="1">
      <c r="A31" s="43" t="s">
        <v>51</v>
      </c>
      <c r="B31" s="170">
        <v>71300</v>
      </c>
      <c r="C31" s="171">
        <v>71300</v>
      </c>
      <c r="D31" s="172">
        <f t="shared" si="0"/>
        <v>100</v>
      </c>
      <c r="E31" s="173">
        <f t="shared" si="1"/>
        <v>0</v>
      </c>
    </row>
    <row r="32" spans="1:5" ht="24.75" customHeight="1">
      <c r="A32" s="43" t="s">
        <v>157</v>
      </c>
      <c r="B32" s="170">
        <f>SUM(B33:B34)</f>
        <v>1300</v>
      </c>
      <c r="C32" s="170">
        <f>SUM(C33:C34)</f>
        <v>100</v>
      </c>
      <c r="D32" s="172">
        <f t="shared" si="0"/>
        <v>7.6923076923076925</v>
      </c>
      <c r="E32" s="173">
        <f t="shared" si="1"/>
        <v>-1200</v>
      </c>
    </row>
    <row r="33" spans="1:5" ht="16.5" customHeight="1">
      <c r="A33" s="124" t="s">
        <v>176</v>
      </c>
      <c r="B33" s="170">
        <v>100</v>
      </c>
      <c r="C33" s="171">
        <v>100</v>
      </c>
      <c r="D33" s="172">
        <f>IF(B33=0,"   ",C33/B33*100)</f>
        <v>100</v>
      </c>
      <c r="E33" s="173">
        <f>C33-B33</f>
        <v>0</v>
      </c>
    </row>
    <row r="34" spans="1:5" ht="26.25" customHeight="1">
      <c r="A34" s="124" t="s">
        <v>177</v>
      </c>
      <c r="B34" s="170">
        <v>1200</v>
      </c>
      <c r="C34" s="171">
        <v>0</v>
      </c>
      <c r="D34" s="172">
        <f>IF(B34=0,"   ",C34/B34*100)</f>
        <v>0</v>
      </c>
      <c r="E34" s="173">
        <f>C34-B34</f>
        <v>-1200</v>
      </c>
    </row>
    <row r="35" spans="1:5" ht="14.25" customHeight="1">
      <c r="A35" s="43" t="s">
        <v>80</v>
      </c>
      <c r="B35" s="170">
        <f>B36+B37</f>
        <v>836334.4</v>
      </c>
      <c r="C35" s="170">
        <f>C36+C37</f>
        <v>604156.4</v>
      </c>
      <c r="D35" s="172">
        <f t="shared" si="0"/>
        <v>72.23861651511643</v>
      </c>
      <c r="E35" s="173">
        <f t="shared" si="1"/>
        <v>-232178</v>
      </c>
    </row>
    <row r="36" spans="1:5" ht="16.5" customHeight="1">
      <c r="A36" s="43" t="s">
        <v>110</v>
      </c>
      <c r="B36" s="170">
        <v>319600</v>
      </c>
      <c r="C36" s="171">
        <v>87422</v>
      </c>
      <c r="D36" s="172">
        <f t="shared" si="0"/>
        <v>27.353566958698373</v>
      </c>
      <c r="E36" s="173">
        <f t="shared" si="1"/>
        <v>-232178</v>
      </c>
    </row>
    <row r="37" spans="1:5" ht="16.5" customHeight="1">
      <c r="A37" s="56" t="s">
        <v>224</v>
      </c>
      <c r="B37" s="170">
        <v>516734.4</v>
      </c>
      <c r="C37" s="171">
        <v>516734.4</v>
      </c>
      <c r="D37" s="172">
        <f t="shared" si="0"/>
        <v>100</v>
      </c>
      <c r="E37" s="173">
        <f t="shared" si="1"/>
        <v>0</v>
      </c>
    </row>
    <row r="38" spans="1:5" ht="16.5" customHeight="1">
      <c r="A38" s="43" t="s">
        <v>184</v>
      </c>
      <c r="B38" s="170">
        <v>0</v>
      </c>
      <c r="C38" s="171">
        <v>0</v>
      </c>
      <c r="D38" s="172" t="str">
        <f t="shared" si="0"/>
        <v>   </v>
      </c>
      <c r="E38" s="173">
        <f t="shared" si="1"/>
        <v>0</v>
      </c>
    </row>
    <row r="39" spans="1:5" ht="37.5" customHeight="1">
      <c r="A39" s="43" t="s">
        <v>104</v>
      </c>
      <c r="B39" s="170">
        <v>0</v>
      </c>
      <c r="C39" s="170">
        <v>0</v>
      </c>
      <c r="D39" s="172" t="str">
        <f t="shared" si="0"/>
        <v>   </v>
      </c>
      <c r="E39" s="173">
        <f t="shared" si="1"/>
        <v>0</v>
      </c>
    </row>
    <row r="40" spans="1:5" ht="15" customHeight="1">
      <c r="A40" s="16" t="s">
        <v>255</v>
      </c>
      <c r="B40" s="170">
        <v>255500</v>
      </c>
      <c r="C40" s="170">
        <v>43061.2</v>
      </c>
      <c r="D40" s="172">
        <f t="shared" si="0"/>
        <v>16.853698630136986</v>
      </c>
      <c r="E40" s="173">
        <f t="shared" si="1"/>
        <v>-212438.8</v>
      </c>
    </row>
    <row r="41" spans="1:5" ht="21" customHeight="1">
      <c r="A41" s="192" t="s">
        <v>11</v>
      </c>
      <c r="B41" s="167">
        <f>SUM(B28,B29,)</f>
        <v>2847134.4</v>
      </c>
      <c r="C41" s="167">
        <f>SUM(C28,C29,)</f>
        <v>2102286.71</v>
      </c>
      <c r="D41" s="157">
        <f t="shared" si="0"/>
        <v>73.83868882340082</v>
      </c>
      <c r="E41" s="158">
        <f t="shared" si="1"/>
        <v>-744847.69</v>
      </c>
    </row>
    <row r="42" spans="1:5" ht="21.75" customHeight="1">
      <c r="A42" s="193" t="s">
        <v>12</v>
      </c>
      <c r="B42" s="167"/>
      <c r="C42" s="180"/>
      <c r="D42" s="172" t="str">
        <f t="shared" si="0"/>
        <v>   </v>
      </c>
      <c r="E42" s="173">
        <f t="shared" si="1"/>
        <v>0</v>
      </c>
    </row>
    <row r="43" spans="1:5" ht="16.5" customHeight="1">
      <c r="A43" s="43" t="s">
        <v>35</v>
      </c>
      <c r="B43" s="170">
        <f>SUM(B44,B46:B47)</f>
        <v>1030800</v>
      </c>
      <c r="C43" s="170">
        <f>SUM(C44,C46:C47)</f>
        <v>626681</v>
      </c>
      <c r="D43" s="172">
        <f t="shared" si="0"/>
        <v>60.79559565386108</v>
      </c>
      <c r="E43" s="173">
        <f t="shared" si="1"/>
        <v>-404119</v>
      </c>
    </row>
    <row r="44" spans="1:5" ht="13.5" customHeight="1">
      <c r="A44" s="43" t="s">
        <v>36</v>
      </c>
      <c r="B44" s="170">
        <v>1030300</v>
      </c>
      <c r="C44" s="170">
        <v>626681</v>
      </c>
      <c r="D44" s="172">
        <f t="shared" si="0"/>
        <v>60.82509948558672</v>
      </c>
      <c r="E44" s="173">
        <f t="shared" si="1"/>
        <v>-403619</v>
      </c>
    </row>
    <row r="45" spans="1:5" ht="12.75">
      <c r="A45" s="43" t="s">
        <v>123</v>
      </c>
      <c r="B45" s="170">
        <v>717400</v>
      </c>
      <c r="C45" s="180">
        <v>436864.42</v>
      </c>
      <c r="D45" s="172">
        <f t="shared" si="0"/>
        <v>60.89551435740172</v>
      </c>
      <c r="E45" s="173">
        <f t="shared" si="1"/>
        <v>-280535.58</v>
      </c>
    </row>
    <row r="46" spans="1:5" ht="12.75">
      <c r="A46" s="43" t="s">
        <v>96</v>
      </c>
      <c r="B46" s="170">
        <v>500</v>
      </c>
      <c r="C46" s="171">
        <v>0</v>
      </c>
      <c r="D46" s="172">
        <f t="shared" si="0"/>
        <v>0</v>
      </c>
      <c r="E46" s="173">
        <f t="shared" si="1"/>
        <v>-500</v>
      </c>
    </row>
    <row r="47" spans="1:5" ht="12.75">
      <c r="A47" s="43" t="s">
        <v>52</v>
      </c>
      <c r="B47" s="171">
        <f>SUM(B48)</f>
        <v>0</v>
      </c>
      <c r="C47" s="171">
        <f>SUM(C48)</f>
        <v>0</v>
      </c>
      <c r="D47" s="172" t="str">
        <f t="shared" si="0"/>
        <v>   </v>
      </c>
      <c r="E47" s="173">
        <f t="shared" si="1"/>
        <v>0</v>
      </c>
    </row>
    <row r="48" spans="1:5" ht="25.5">
      <c r="A48" s="120" t="s">
        <v>166</v>
      </c>
      <c r="B48" s="170">
        <v>0</v>
      </c>
      <c r="C48" s="171">
        <v>0</v>
      </c>
      <c r="D48" s="172" t="str">
        <f t="shared" si="0"/>
        <v>   </v>
      </c>
      <c r="E48" s="173">
        <f t="shared" si="1"/>
        <v>0</v>
      </c>
    </row>
    <row r="49" spans="1:5" ht="16.5" customHeight="1">
      <c r="A49" s="43" t="s">
        <v>49</v>
      </c>
      <c r="B49" s="171">
        <f>SUM(B50)</f>
        <v>71300</v>
      </c>
      <c r="C49" s="171">
        <f>SUM(C50)</f>
        <v>32592.67</v>
      </c>
      <c r="D49" s="172">
        <f t="shared" si="0"/>
        <v>45.712019635343616</v>
      </c>
      <c r="E49" s="173">
        <f t="shared" si="1"/>
        <v>-38707.33</v>
      </c>
    </row>
    <row r="50" spans="1:5" ht="17.25" customHeight="1">
      <c r="A50" s="41" t="s">
        <v>108</v>
      </c>
      <c r="B50" s="170">
        <v>71300</v>
      </c>
      <c r="C50" s="171">
        <v>32592.67</v>
      </c>
      <c r="D50" s="172">
        <f t="shared" si="0"/>
        <v>45.712019635343616</v>
      </c>
      <c r="E50" s="173">
        <f t="shared" si="1"/>
        <v>-38707.33</v>
      </c>
    </row>
    <row r="51" spans="1:5" ht="22.5" customHeight="1">
      <c r="A51" s="43" t="s">
        <v>37</v>
      </c>
      <c r="B51" s="170">
        <f>SUM(B52)</f>
        <v>400</v>
      </c>
      <c r="C51" s="171">
        <f>SUM(C52)</f>
        <v>0</v>
      </c>
      <c r="D51" s="172">
        <f t="shared" si="0"/>
        <v>0</v>
      </c>
      <c r="E51" s="173">
        <f t="shared" si="1"/>
        <v>-400</v>
      </c>
    </row>
    <row r="52" spans="1:5" ht="17.25" customHeight="1">
      <c r="A52" s="87" t="s">
        <v>130</v>
      </c>
      <c r="B52" s="170">
        <v>400</v>
      </c>
      <c r="C52" s="171">
        <v>0</v>
      </c>
      <c r="D52" s="172">
        <f t="shared" si="0"/>
        <v>0</v>
      </c>
      <c r="E52" s="173">
        <f t="shared" si="1"/>
        <v>-400</v>
      </c>
    </row>
    <row r="53" spans="1:5" ht="18.75" customHeight="1">
      <c r="A53" s="43" t="s">
        <v>38</v>
      </c>
      <c r="B53" s="170">
        <f>B57+B54</f>
        <v>432700</v>
      </c>
      <c r="C53" s="170">
        <f>C57+C54</f>
        <v>118030</v>
      </c>
      <c r="D53" s="172">
        <f t="shared" si="0"/>
        <v>27.277559510053155</v>
      </c>
      <c r="E53" s="173">
        <f t="shared" si="1"/>
        <v>-314670</v>
      </c>
    </row>
    <row r="54" spans="1:5" ht="18.75" customHeight="1">
      <c r="A54" s="87" t="s">
        <v>178</v>
      </c>
      <c r="B54" s="25">
        <f>SUM(B55,B56)</f>
        <v>1200</v>
      </c>
      <c r="C54" s="25">
        <f>SUM(C55,C56)</f>
        <v>0</v>
      </c>
      <c r="D54" s="172">
        <f>IF(B54=0,"   ",C54/B54*100)</f>
        <v>0</v>
      </c>
      <c r="E54" s="173">
        <f>C54-B54</f>
        <v>-1200</v>
      </c>
    </row>
    <row r="55" spans="1:5" ht="18.75" customHeight="1">
      <c r="A55" s="87" t="s">
        <v>179</v>
      </c>
      <c r="B55" s="25">
        <v>1200</v>
      </c>
      <c r="C55" s="170">
        <v>0</v>
      </c>
      <c r="D55" s="172">
        <f>IF(B55=0,"   ",C55/B55*100)</f>
        <v>0</v>
      </c>
      <c r="E55" s="173">
        <f>C55-B55</f>
        <v>-1200</v>
      </c>
    </row>
    <row r="56" spans="1:5" ht="18.75" customHeight="1">
      <c r="A56" s="87" t="s">
        <v>227</v>
      </c>
      <c r="B56" s="25">
        <v>0</v>
      </c>
      <c r="C56" s="170">
        <v>0</v>
      </c>
      <c r="D56" s="172"/>
      <c r="E56" s="173"/>
    </row>
    <row r="57" spans="1:5" ht="12.75">
      <c r="A57" s="111" t="s">
        <v>134</v>
      </c>
      <c r="B57" s="170">
        <f>B58+B60+B61+B59</f>
        <v>431500</v>
      </c>
      <c r="C57" s="170">
        <f>C58+C60+C61+C59</f>
        <v>118030</v>
      </c>
      <c r="D57" s="172">
        <f t="shared" si="0"/>
        <v>27.353418308227113</v>
      </c>
      <c r="E57" s="173">
        <f t="shared" si="1"/>
        <v>-313470</v>
      </c>
    </row>
    <row r="58" spans="1:5" ht="16.5" customHeight="1">
      <c r="A58" s="87" t="s">
        <v>148</v>
      </c>
      <c r="B58" s="170">
        <v>0</v>
      </c>
      <c r="C58" s="170">
        <v>0</v>
      </c>
      <c r="D58" s="172" t="str">
        <f t="shared" si="0"/>
        <v>   </v>
      </c>
      <c r="E58" s="173">
        <f t="shared" si="1"/>
        <v>0</v>
      </c>
    </row>
    <row r="59" spans="1:5" ht="13.5" customHeight="1">
      <c r="A59" s="87" t="s">
        <v>158</v>
      </c>
      <c r="B59" s="170">
        <v>0</v>
      </c>
      <c r="C59" s="170">
        <v>0</v>
      </c>
      <c r="D59" s="172" t="str">
        <f>IF(B59=0,"   ",C59/B59*100)</f>
        <v>   </v>
      </c>
      <c r="E59" s="173">
        <f>C59-B59</f>
        <v>0</v>
      </c>
    </row>
    <row r="60" spans="1:5" ht="25.5">
      <c r="A60" s="82" t="s">
        <v>135</v>
      </c>
      <c r="B60" s="170">
        <v>319600</v>
      </c>
      <c r="C60" s="170">
        <v>87422</v>
      </c>
      <c r="D60" s="172">
        <f t="shared" si="0"/>
        <v>27.353566958698373</v>
      </c>
      <c r="E60" s="173">
        <f t="shared" si="1"/>
        <v>-232178</v>
      </c>
    </row>
    <row r="61" spans="1:5" ht="25.5">
      <c r="A61" s="82" t="s">
        <v>136</v>
      </c>
      <c r="B61" s="170">
        <v>111900</v>
      </c>
      <c r="C61" s="170">
        <v>30608</v>
      </c>
      <c r="D61" s="172">
        <f t="shared" si="0"/>
        <v>27.352993744414654</v>
      </c>
      <c r="E61" s="173">
        <f t="shared" si="1"/>
        <v>-81292</v>
      </c>
    </row>
    <row r="62" spans="1:5" ht="21.75" customHeight="1">
      <c r="A62" s="43" t="s">
        <v>13</v>
      </c>
      <c r="B62" s="170">
        <f>B68+B63</f>
        <v>1056434.4</v>
      </c>
      <c r="C62" s="170">
        <f>C68+C63</f>
        <v>806348.9199999999</v>
      </c>
      <c r="D62" s="172">
        <f t="shared" si="0"/>
        <v>76.32740092522545</v>
      </c>
      <c r="E62" s="173">
        <f t="shared" si="1"/>
        <v>-250085.47999999998</v>
      </c>
    </row>
    <row r="63" spans="1:5" ht="17.25" customHeight="1">
      <c r="A63" s="43" t="s">
        <v>159</v>
      </c>
      <c r="B63" s="170">
        <f>B64</f>
        <v>889234.4</v>
      </c>
      <c r="C63" s="170">
        <f>C64</f>
        <v>760895.6</v>
      </c>
      <c r="D63" s="172">
        <f>IF(B63=0,"   ",C63/B63*100)</f>
        <v>85.56749491472664</v>
      </c>
      <c r="E63" s="173">
        <f>C63-B63</f>
        <v>-128338.80000000005</v>
      </c>
    </row>
    <row r="64" spans="1:5" ht="17.25" customHeight="1">
      <c r="A64" s="120" t="s">
        <v>265</v>
      </c>
      <c r="B64" s="170">
        <f>SUM(B65:B67)</f>
        <v>889234.4</v>
      </c>
      <c r="C64" s="170">
        <f>SUM(C65:C67)</f>
        <v>760895.6</v>
      </c>
      <c r="D64" s="172">
        <f>IF(B64=0,"   ",C64/B64*100)</f>
        <v>85.56749491472664</v>
      </c>
      <c r="E64" s="173">
        <f>C64-B64</f>
        <v>-128338.80000000005</v>
      </c>
    </row>
    <row r="65" spans="1:5" ht="27.75" customHeight="1">
      <c r="A65" s="120" t="s">
        <v>223</v>
      </c>
      <c r="B65" s="171">
        <v>516734.4</v>
      </c>
      <c r="C65" s="171">
        <v>516734.4</v>
      </c>
      <c r="D65" s="172">
        <f>IF(B65=0,"   ",C65/B65*100)</f>
        <v>100</v>
      </c>
      <c r="E65" s="173">
        <f>C65-B65</f>
        <v>0</v>
      </c>
    </row>
    <row r="66" spans="1:5" ht="27.75" customHeight="1">
      <c r="A66" s="120" t="s">
        <v>256</v>
      </c>
      <c r="B66" s="171">
        <v>325900</v>
      </c>
      <c r="C66" s="171">
        <v>201100</v>
      </c>
      <c r="D66" s="172"/>
      <c r="E66" s="173"/>
    </row>
    <row r="67" spans="1:5" ht="22.5" customHeight="1">
      <c r="A67" s="120" t="s">
        <v>271</v>
      </c>
      <c r="B67" s="171">
        <v>46600</v>
      </c>
      <c r="C67" s="171">
        <v>43061.2</v>
      </c>
      <c r="D67" s="172">
        <f>IF(B67=0,"   ",C67/B67*100)</f>
        <v>92.40600858369098</v>
      </c>
      <c r="E67" s="173">
        <f>C67-B67</f>
        <v>-3538.800000000003</v>
      </c>
    </row>
    <row r="68" spans="1:5" ht="12.75">
      <c r="A68" s="43" t="s">
        <v>63</v>
      </c>
      <c r="B68" s="170">
        <f>B69+B70+B72+B71</f>
        <v>167200</v>
      </c>
      <c r="C68" s="170">
        <f>C69+C70+C72+C71</f>
        <v>45453.32</v>
      </c>
      <c r="D68" s="172">
        <f t="shared" si="0"/>
        <v>27.185</v>
      </c>
      <c r="E68" s="173">
        <f t="shared" si="1"/>
        <v>-121746.68</v>
      </c>
    </row>
    <row r="69" spans="1:5" ht="12.75">
      <c r="A69" s="43" t="s">
        <v>62</v>
      </c>
      <c r="B69" s="170">
        <v>124700</v>
      </c>
      <c r="C69" s="171">
        <v>36861.64</v>
      </c>
      <c r="D69" s="172">
        <f t="shared" si="0"/>
        <v>29.560256615878107</v>
      </c>
      <c r="E69" s="173">
        <f t="shared" si="1"/>
        <v>-87838.36</v>
      </c>
    </row>
    <row r="70" spans="1:5" ht="12.75">
      <c r="A70" s="43" t="s">
        <v>133</v>
      </c>
      <c r="B70" s="170">
        <v>42500</v>
      </c>
      <c r="C70" s="170">
        <v>8591.68</v>
      </c>
      <c r="D70" s="172">
        <f t="shared" si="0"/>
        <v>20.215717647058824</v>
      </c>
      <c r="E70" s="173">
        <f t="shared" si="1"/>
        <v>-33908.32</v>
      </c>
    </row>
    <row r="71" spans="1:5" ht="12.75">
      <c r="A71" s="16" t="s">
        <v>95</v>
      </c>
      <c r="B71" s="170">
        <v>0</v>
      </c>
      <c r="C71" s="170">
        <v>0</v>
      </c>
      <c r="D71" s="172" t="str">
        <f t="shared" si="0"/>
        <v>   </v>
      </c>
      <c r="E71" s="173">
        <f t="shared" si="1"/>
        <v>0</v>
      </c>
    </row>
    <row r="72" spans="1:5" ht="25.5">
      <c r="A72" s="120" t="s">
        <v>180</v>
      </c>
      <c r="B72" s="170">
        <v>0</v>
      </c>
      <c r="C72" s="171">
        <v>0</v>
      </c>
      <c r="D72" s="172" t="str">
        <f t="shared" si="0"/>
        <v>   </v>
      </c>
      <c r="E72" s="173">
        <f t="shared" si="1"/>
        <v>0</v>
      </c>
    </row>
    <row r="73" spans="1:5" ht="21.75" customHeight="1">
      <c r="A73" s="18" t="s">
        <v>17</v>
      </c>
      <c r="B73" s="170">
        <v>8000</v>
      </c>
      <c r="C73" s="170">
        <v>8000</v>
      </c>
      <c r="D73" s="172">
        <f t="shared" si="0"/>
        <v>100</v>
      </c>
      <c r="E73" s="173">
        <f t="shared" si="1"/>
        <v>0</v>
      </c>
    </row>
    <row r="74" spans="1:5" ht="22.5" customHeight="1">
      <c r="A74" s="43" t="s">
        <v>41</v>
      </c>
      <c r="B74" s="178">
        <f>B75</f>
        <v>360500</v>
      </c>
      <c r="C74" s="178">
        <f>C75</f>
        <v>360500</v>
      </c>
      <c r="D74" s="172">
        <f t="shared" si="0"/>
        <v>100</v>
      </c>
      <c r="E74" s="173">
        <f t="shared" si="1"/>
        <v>0</v>
      </c>
    </row>
    <row r="75" spans="1:5" ht="12.75">
      <c r="A75" s="43" t="s">
        <v>42</v>
      </c>
      <c r="B75" s="170">
        <v>360500</v>
      </c>
      <c r="C75" s="171">
        <v>360500</v>
      </c>
      <c r="D75" s="172">
        <f t="shared" si="0"/>
        <v>100</v>
      </c>
      <c r="E75" s="173">
        <f t="shared" si="1"/>
        <v>0</v>
      </c>
    </row>
    <row r="76" spans="1:5" ht="16.5" customHeight="1">
      <c r="A76" s="43" t="s">
        <v>125</v>
      </c>
      <c r="B76" s="170">
        <f>SUM(B77,)</f>
        <v>4000</v>
      </c>
      <c r="C76" s="170">
        <f>SUM(C77,)</f>
        <v>0</v>
      </c>
      <c r="D76" s="172">
        <f t="shared" si="0"/>
        <v>0</v>
      </c>
      <c r="E76" s="173">
        <f t="shared" si="1"/>
        <v>-4000</v>
      </c>
    </row>
    <row r="77" spans="1:5" ht="12.75">
      <c r="A77" s="43" t="s">
        <v>43</v>
      </c>
      <c r="B77" s="170">
        <v>4000</v>
      </c>
      <c r="C77" s="180">
        <v>0</v>
      </c>
      <c r="D77" s="172">
        <f t="shared" si="0"/>
        <v>0</v>
      </c>
      <c r="E77" s="173">
        <f t="shared" si="1"/>
        <v>-4000</v>
      </c>
    </row>
    <row r="78" spans="1:5" ht="28.5" customHeight="1">
      <c r="A78" s="192" t="s">
        <v>15</v>
      </c>
      <c r="B78" s="167">
        <f>SUM(B43,B49,B51,B53,B62,B73,B74,B76,)</f>
        <v>2964134.4</v>
      </c>
      <c r="C78" s="167">
        <f>SUM(C43,C49,C51,C53,C62,C73,C74,C76,)</f>
        <v>1952152.5899999999</v>
      </c>
      <c r="D78" s="157">
        <f>IF(B78=0,"   ",C78/B78*100)</f>
        <v>65.8591118540374</v>
      </c>
      <c r="E78" s="158">
        <f t="shared" si="1"/>
        <v>-1011981.81</v>
      </c>
    </row>
    <row r="79" spans="1:5" s="69" customFormat="1" ht="23.25" customHeight="1">
      <c r="A79" s="92" t="s">
        <v>291</v>
      </c>
      <c r="B79" s="92"/>
      <c r="C79" s="247"/>
      <c r="D79" s="247"/>
      <c r="E79" s="247"/>
    </row>
    <row r="80" spans="1:5" s="69" customFormat="1" ht="12" customHeight="1">
      <c r="A80" s="92" t="s">
        <v>165</v>
      </c>
      <c r="B80" s="92"/>
      <c r="C80" s="93" t="s">
        <v>315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1">
      <selection activeCell="D32" sqref="D32:E32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49" t="s">
        <v>305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243</v>
      </c>
      <c r="C4" s="32" t="s">
        <v>306</v>
      </c>
      <c r="D4" s="19" t="s">
        <v>246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8" t="s">
        <v>45</v>
      </c>
      <c r="B7" s="165">
        <f>SUM(B8)</f>
        <v>9196500</v>
      </c>
      <c r="C7" s="165">
        <f>SUM(C8)</f>
        <v>7215961.92</v>
      </c>
      <c r="D7" s="155">
        <f aca="true" t="shared" si="0" ref="D7:D102">IF(B7=0,"   ",C7/B7*100)</f>
        <v>78.46421921383134</v>
      </c>
      <c r="E7" s="156">
        <f aca="true" t="shared" si="1" ref="E7:E124">C7-B7</f>
        <v>-1980538.08</v>
      </c>
    </row>
    <row r="8" spans="1:5" ht="12.75">
      <c r="A8" s="97" t="s">
        <v>44</v>
      </c>
      <c r="B8" s="96">
        <v>9196500</v>
      </c>
      <c r="C8" s="169">
        <v>7215961.92</v>
      </c>
      <c r="D8" s="155">
        <f t="shared" si="0"/>
        <v>78.46421921383134</v>
      </c>
      <c r="E8" s="156">
        <f t="shared" si="1"/>
        <v>-1980538.08</v>
      </c>
    </row>
    <row r="9" spans="1:5" ht="18.75" customHeight="1">
      <c r="A9" s="168" t="s">
        <v>144</v>
      </c>
      <c r="B9" s="165">
        <f>SUM(B10)</f>
        <v>1016100</v>
      </c>
      <c r="C9" s="165">
        <f>SUM(C10)</f>
        <v>888097.64</v>
      </c>
      <c r="D9" s="155">
        <f t="shared" si="0"/>
        <v>87.40258242298987</v>
      </c>
      <c r="E9" s="156">
        <f t="shared" si="1"/>
        <v>-128002.35999999999</v>
      </c>
    </row>
    <row r="10" spans="1:5" ht="12.75">
      <c r="A10" s="97" t="s">
        <v>145</v>
      </c>
      <c r="B10" s="96">
        <v>1016100</v>
      </c>
      <c r="C10" s="169">
        <v>888097.64</v>
      </c>
      <c r="D10" s="155">
        <f t="shared" si="0"/>
        <v>87.40258242298987</v>
      </c>
      <c r="E10" s="156">
        <f t="shared" si="1"/>
        <v>-128002.35999999999</v>
      </c>
    </row>
    <row r="11" spans="1:5" ht="17.25" customHeight="1">
      <c r="A11" s="97" t="s">
        <v>7</v>
      </c>
      <c r="B11" s="96">
        <f>SUM(B12:B12)</f>
        <v>4200</v>
      </c>
      <c r="C11" s="165">
        <f>SUM(C12)</f>
        <v>3053.25</v>
      </c>
      <c r="D11" s="155">
        <f t="shared" si="0"/>
        <v>72.69642857142857</v>
      </c>
      <c r="E11" s="156">
        <f t="shared" si="1"/>
        <v>-1146.75</v>
      </c>
    </row>
    <row r="12" spans="1:5" ht="12.75">
      <c r="A12" s="97" t="s">
        <v>26</v>
      </c>
      <c r="B12" s="96">
        <v>4200</v>
      </c>
      <c r="C12" s="169">
        <v>3053.25</v>
      </c>
      <c r="D12" s="155">
        <f t="shared" si="0"/>
        <v>72.69642857142857</v>
      </c>
      <c r="E12" s="156">
        <f t="shared" si="1"/>
        <v>-1146.75</v>
      </c>
    </row>
    <row r="13" spans="1:5" ht="16.5" customHeight="1">
      <c r="A13" s="97" t="s">
        <v>9</v>
      </c>
      <c r="B13" s="96">
        <f>SUM(B14:B15)</f>
        <v>4180000</v>
      </c>
      <c r="C13" s="96">
        <f>SUM(C14:C15)</f>
        <v>2423613.74</v>
      </c>
      <c r="D13" s="155">
        <f t="shared" si="0"/>
        <v>57.98118995215311</v>
      </c>
      <c r="E13" s="156">
        <f t="shared" si="1"/>
        <v>-1756386.2599999998</v>
      </c>
    </row>
    <row r="14" spans="1:5" ht="12.75">
      <c r="A14" s="97" t="s">
        <v>27</v>
      </c>
      <c r="B14" s="96">
        <v>1408000</v>
      </c>
      <c r="C14" s="169">
        <v>786194.22</v>
      </c>
      <c r="D14" s="155">
        <f t="shared" si="0"/>
        <v>55.83765767045455</v>
      </c>
      <c r="E14" s="156">
        <f t="shared" si="1"/>
        <v>-621805.78</v>
      </c>
    </row>
    <row r="15" spans="1:5" ht="12.75">
      <c r="A15" s="43" t="s">
        <v>173</v>
      </c>
      <c r="B15" s="31">
        <f>SUM(B16:B17)</f>
        <v>2772000</v>
      </c>
      <c r="C15" s="31">
        <f>SUM(C16:C17)</f>
        <v>1637419.52</v>
      </c>
      <c r="D15" s="155">
        <f t="shared" si="0"/>
        <v>59.069968253968256</v>
      </c>
      <c r="E15" s="156">
        <f t="shared" si="1"/>
        <v>-1134580.48</v>
      </c>
    </row>
    <row r="16" spans="1:5" ht="12.75">
      <c r="A16" s="43" t="s">
        <v>174</v>
      </c>
      <c r="B16" s="96">
        <v>986800</v>
      </c>
      <c r="C16" s="169">
        <v>877588.6</v>
      </c>
      <c r="D16" s="155">
        <f t="shared" si="0"/>
        <v>88.93277259829753</v>
      </c>
      <c r="E16" s="156">
        <f t="shared" si="1"/>
        <v>-109211.40000000002</v>
      </c>
    </row>
    <row r="17" spans="1:5" ht="12.75">
      <c r="A17" s="43" t="s">
        <v>175</v>
      </c>
      <c r="B17" s="96">
        <v>1785200</v>
      </c>
      <c r="C17" s="169">
        <v>759830.92</v>
      </c>
      <c r="D17" s="155">
        <f t="shared" si="0"/>
        <v>42.56278960340578</v>
      </c>
      <c r="E17" s="156">
        <f t="shared" si="1"/>
        <v>-1025369.08</v>
      </c>
    </row>
    <row r="18" spans="1:5" ht="25.5">
      <c r="A18" s="97" t="s">
        <v>89</v>
      </c>
      <c r="B18" s="96">
        <v>0</v>
      </c>
      <c r="C18" s="169">
        <v>0</v>
      </c>
      <c r="D18" s="155" t="str">
        <f t="shared" si="0"/>
        <v>   </v>
      </c>
      <c r="E18" s="156">
        <f t="shared" si="1"/>
        <v>0</v>
      </c>
    </row>
    <row r="19" spans="1:5" ht="27" customHeight="1">
      <c r="A19" s="97" t="s">
        <v>28</v>
      </c>
      <c r="B19" s="96">
        <f>SUM(B20:B23)</f>
        <v>4306300</v>
      </c>
      <c r="C19" s="96">
        <f>SUM(C20:C23)</f>
        <v>1524572.77</v>
      </c>
      <c r="D19" s="155">
        <f t="shared" si="0"/>
        <v>35.40331073078977</v>
      </c>
      <c r="E19" s="156">
        <f t="shared" si="1"/>
        <v>-2781727.23</v>
      </c>
    </row>
    <row r="20" spans="1:5" ht="12.75">
      <c r="A20" s="98" t="s">
        <v>164</v>
      </c>
      <c r="B20" s="170">
        <v>872000</v>
      </c>
      <c r="C20" s="171">
        <v>942990.86</v>
      </c>
      <c r="D20" s="172">
        <f t="shared" si="0"/>
        <v>108.14115366972476</v>
      </c>
      <c r="E20" s="173">
        <f t="shared" si="1"/>
        <v>70990.85999999999</v>
      </c>
    </row>
    <row r="21" spans="1:5" ht="12.75">
      <c r="A21" s="43" t="s">
        <v>163</v>
      </c>
      <c r="B21" s="170">
        <v>1506300</v>
      </c>
      <c r="C21" s="171">
        <v>0</v>
      </c>
      <c r="D21" s="172">
        <f t="shared" si="0"/>
        <v>0</v>
      </c>
      <c r="E21" s="173">
        <f t="shared" si="1"/>
        <v>-1506300</v>
      </c>
    </row>
    <row r="22" spans="1:5" ht="24" customHeight="1">
      <c r="A22" s="174" t="s">
        <v>30</v>
      </c>
      <c r="B22" s="170">
        <v>938000</v>
      </c>
      <c r="C22" s="171">
        <v>9727.29</v>
      </c>
      <c r="D22" s="172">
        <f t="shared" si="0"/>
        <v>1.0370245202558637</v>
      </c>
      <c r="E22" s="173">
        <f t="shared" si="1"/>
        <v>-928272.71</v>
      </c>
    </row>
    <row r="23" spans="1:5" ht="42" customHeight="1">
      <c r="A23" s="16" t="s">
        <v>258</v>
      </c>
      <c r="B23" s="170">
        <v>990000</v>
      </c>
      <c r="C23" s="171">
        <v>571854.62</v>
      </c>
      <c r="D23" s="172">
        <f t="shared" si="0"/>
        <v>57.763092929292924</v>
      </c>
      <c r="E23" s="173">
        <f t="shared" si="1"/>
        <v>-418145.38</v>
      </c>
    </row>
    <row r="24" spans="1:5" ht="19.5" customHeight="1">
      <c r="A24" s="41" t="s">
        <v>92</v>
      </c>
      <c r="B24" s="170">
        <v>0</v>
      </c>
      <c r="C24" s="171">
        <v>63500</v>
      </c>
      <c r="D24" s="172" t="str">
        <f t="shared" si="0"/>
        <v>   </v>
      </c>
      <c r="E24" s="173">
        <f t="shared" si="1"/>
        <v>63500</v>
      </c>
    </row>
    <row r="25" spans="1:5" ht="15.75" customHeight="1">
      <c r="A25" s="174" t="s">
        <v>76</v>
      </c>
      <c r="B25" s="170">
        <f>SUM(B26:B27)</f>
        <v>262800</v>
      </c>
      <c r="C25" s="170">
        <f>SUM(C26:C27)</f>
        <v>284709.69</v>
      </c>
      <c r="D25" s="172">
        <f t="shared" si="0"/>
        <v>108.3370205479452</v>
      </c>
      <c r="E25" s="173">
        <f t="shared" si="1"/>
        <v>21909.690000000002</v>
      </c>
    </row>
    <row r="26" spans="1:5" ht="15.75" customHeight="1">
      <c r="A26" s="16" t="s">
        <v>259</v>
      </c>
      <c r="B26" s="170">
        <v>0</v>
      </c>
      <c r="C26" s="170">
        <v>0</v>
      </c>
      <c r="D26" s="172" t="str">
        <f t="shared" si="0"/>
        <v>   </v>
      </c>
      <c r="E26" s="173">
        <f t="shared" si="1"/>
        <v>0</v>
      </c>
    </row>
    <row r="27" spans="1:5" ht="25.5" customHeight="1">
      <c r="A27" s="16" t="s">
        <v>295</v>
      </c>
      <c r="B27" s="170">
        <v>262800</v>
      </c>
      <c r="C27" s="171">
        <v>284709.69</v>
      </c>
      <c r="D27" s="172">
        <f t="shared" si="0"/>
        <v>108.3370205479452</v>
      </c>
      <c r="E27" s="173">
        <f t="shared" si="1"/>
        <v>21909.690000000002</v>
      </c>
    </row>
    <row r="28" spans="1:5" ht="15" customHeight="1">
      <c r="A28" s="174" t="s">
        <v>31</v>
      </c>
      <c r="B28" s="170">
        <v>5100</v>
      </c>
      <c r="C28" s="170">
        <v>6100</v>
      </c>
      <c r="D28" s="172">
        <f t="shared" si="0"/>
        <v>119.6078431372549</v>
      </c>
      <c r="E28" s="173">
        <f t="shared" si="1"/>
        <v>1000</v>
      </c>
    </row>
    <row r="29" spans="1:5" ht="12.75">
      <c r="A29" s="174" t="s">
        <v>32</v>
      </c>
      <c r="B29" s="170">
        <f>B30+B31</f>
        <v>0</v>
      </c>
      <c r="C29" s="170">
        <f>C30+C31</f>
        <v>-97308</v>
      </c>
      <c r="D29" s="172" t="str">
        <f t="shared" si="0"/>
        <v>   </v>
      </c>
      <c r="E29" s="173">
        <f t="shared" si="1"/>
        <v>-97308</v>
      </c>
    </row>
    <row r="30" spans="1:5" ht="13.5" customHeight="1">
      <c r="A30" s="174" t="s">
        <v>46</v>
      </c>
      <c r="B30" s="170">
        <v>0</v>
      </c>
      <c r="C30" s="170">
        <v>-97308</v>
      </c>
      <c r="D30" s="172" t="str">
        <f t="shared" si="0"/>
        <v>   </v>
      </c>
      <c r="E30" s="173">
        <f t="shared" si="1"/>
        <v>-97308</v>
      </c>
    </row>
    <row r="31" spans="1:5" ht="15.75" customHeight="1">
      <c r="A31" s="174" t="s">
        <v>111</v>
      </c>
      <c r="B31" s="170">
        <v>0</v>
      </c>
      <c r="C31" s="171">
        <v>0</v>
      </c>
      <c r="D31" s="172" t="str">
        <f t="shared" si="0"/>
        <v>   </v>
      </c>
      <c r="E31" s="173">
        <f t="shared" si="1"/>
        <v>0</v>
      </c>
    </row>
    <row r="32" spans="1:5" ht="15" customHeight="1">
      <c r="A32" s="175" t="s">
        <v>10</v>
      </c>
      <c r="B32" s="167">
        <f>SUM(B7,B9,B11,B13,B19,B25,B28,B29,)</f>
        <v>18971000</v>
      </c>
      <c r="C32" s="167">
        <f>SUM(C7,C9,C11,C13,C18,C19,C24,C25,C28,C29,)</f>
        <v>12312301.01</v>
      </c>
      <c r="D32" s="157">
        <f t="shared" si="0"/>
        <v>64.90064313952875</v>
      </c>
      <c r="E32" s="158">
        <f t="shared" si="1"/>
        <v>-6658698.99</v>
      </c>
    </row>
    <row r="33" spans="1:5" ht="18" customHeight="1">
      <c r="A33" s="176" t="s">
        <v>147</v>
      </c>
      <c r="B33" s="214">
        <f>B34+B35+B36+B39+B40+B41+B42+B45</f>
        <v>14420513.98</v>
      </c>
      <c r="C33" s="214">
        <f>C34+C35+C36+C39+C40+C41+C45+C42</f>
        <v>13439628.78</v>
      </c>
      <c r="D33" s="157">
        <f t="shared" si="0"/>
        <v>93.19798724677634</v>
      </c>
      <c r="E33" s="158">
        <f t="shared" si="1"/>
        <v>-980885.2000000011</v>
      </c>
    </row>
    <row r="34" spans="1:5" ht="15" customHeight="1">
      <c r="A34" s="177" t="s">
        <v>34</v>
      </c>
      <c r="B34" s="178">
        <v>5089900</v>
      </c>
      <c r="C34" s="178">
        <v>4234600</v>
      </c>
      <c r="D34" s="172">
        <f t="shared" si="0"/>
        <v>83.19613351932259</v>
      </c>
      <c r="E34" s="173">
        <f t="shared" si="1"/>
        <v>-855300</v>
      </c>
    </row>
    <row r="35" spans="1:5" ht="24.75" customHeight="1">
      <c r="A35" s="174" t="s">
        <v>51</v>
      </c>
      <c r="B35" s="170">
        <v>285000</v>
      </c>
      <c r="C35" s="171">
        <v>285000</v>
      </c>
      <c r="D35" s="172">
        <f t="shared" si="0"/>
        <v>100</v>
      </c>
      <c r="E35" s="173">
        <f t="shared" si="1"/>
        <v>0</v>
      </c>
    </row>
    <row r="36" spans="1:5" ht="24.75" customHeight="1">
      <c r="A36" s="174" t="s">
        <v>157</v>
      </c>
      <c r="B36" s="170">
        <f>SUM(B37:B38)</f>
        <v>19068.8</v>
      </c>
      <c r="C36" s="170">
        <f>SUM(C37:C38)</f>
        <v>15683.6</v>
      </c>
      <c r="D36" s="172">
        <f t="shared" si="0"/>
        <v>82.2474408457795</v>
      </c>
      <c r="E36" s="173">
        <f t="shared" si="1"/>
        <v>-3385.199999999999</v>
      </c>
    </row>
    <row r="37" spans="1:5" ht="13.5" customHeight="1">
      <c r="A37" s="124" t="s">
        <v>176</v>
      </c>
      <c r="B37" s="170">
        <v>900</v>
      </c>
      <c r="C37" s="171">
        <v>500</v>
      </c>
      <c r="D37" s="172">
        <f>IF(B37=0,"   ",C37/B37*100)</f>
        <v>55.55555555555556</v>
      </c>
      <c r="E37" s="173">
        <f>C37-B37</f>
        <v>-400</v>
      </c>
    </row>
    <row r="38" spans="1:5" ht="24.75" customHeight="1">
      <c r="A38" s="124" t="s">
        <v>177</v>
      </c>
      <c r="B38" s="170">
        <v>18168.8</v>
      </c>
      <c r="C38" s="171">
        <v>15183.6</v>
      </c>
      <c r="D38" s="172">
        <f>IF(B38=0,"   ",C38/B38*100)</f>
        <v>83.56963585927525</v>
      </c>
      <c r="E38" s="173">
        <f>C38-B38</f>
        <v>-2985.199999999999</v>
      </c>
    </row>
    <row r="39" spans="1:5" ht="42" customHeight="1">
      <c r="A39" s="174" t="s">
        <v>124</v>
      </c>
      <c r="B39" s="170">
        <v>202477</v>
      </c>
      <c r="C39" s="171">
        <v>202477</v>
      </c>
      <c r="D39" s="172">
        <f t="shared" si="0"/>
        <v>100</v>
      </c>
      <c r="E39" s="173">
        <f t="shared" si="1"/>
        <v>0</v>
      </c>
    </row>
    <row r="40" spans="1:5" ht="47.25" customHeight="1">
      <c r="A40" s="16" t="s">
        <v>286</v>
      </c>
      <c r="B40" s="212">
        <v>6407468.18</v>
      </c>
      <c r="C40" s="209">
        <v>6407468.18</v>
      </c>
      <c r="D40" s="210">
        <f>IF(B40=0,"   ",C40/B40)</f>
        <v>1</v>
      </c>
      <c r="E40" s="211">
        <f>C40-B40</f>
        <v>0</v>
      </c>
    </row>
    <row r="41" spans="1:5" ht="25.5" customHeight="1">
      <c r="A41" s="174" t="s">
        <v>142</v>
      </c>
      <c r="B41" s="170">
        <v>1615800</v>
      </c>
      <c r="C41" s="171">
        <v>1609536</v>
      </c>
      <c r="D41" s="172">
        <f t="shared" si="0"/>
        <v>99.61232825844782</v>
      </c>
      <c r="E41" s="173">
        <f t="shared" si="1"/>
        <v>-6264</v>
      </c>
    </row>
    <row r="42" spans="1:5" ht="15" customHeight="1">
      <c r="A42" s="174" t="s">
        <v>55</v>
      </c>
      <c r="B42" s="170">
        <f>B44+B43</f>
        <v>800800</v>
      </c>
      <c r="C42" s="170">
        <f>C44+C43</f>
        <v>684864</v>
      </c>
      <c r="D42" s="172">
        <f t="shared" si="0"/>
        <v>85.52247752247753</v>
      </c>
      <c r="E42" s="173">
        <f t="shared" si="1"/>
        <v>-115936</v>
      </c>
    </row>
    <row r="43" spans="1:5" ht="15" customHeight="1">
      <c r="A43" s="16" t="s">
        <v>226</v>
      </c>
      <c r="B43" s="170">
        <v>42800</v>
      </c>
      <c r="C43" s="170">
        <v>42800</v>
      </c>
      <c r="D43" s="172">
        <f t="shared" si="0"/>
        <v>100</v>
      </c>
      <c r="E43" s="173">
        <f t="shared" si="1"/>
        <v>0</v>
      </c>
    </row>
    <row r="44" spans="1:5" ht="18" customHeight="1">
      <c r="A44" s="174" t="s">
        <v>110</v>
      </c>
      <c r="B44" s="170">
        <v>758000</v>
      </c>
      <c r="C44" s="171">
        <v>642064</v>
      </c>
      <c r="D44" s="172">
        <f t="shared" si="0"/>
        <v>84.70501319261213</v>
      </c>
      <c r="E44" s="173">
        <f t="shared" si="1"/>
        <v>-115936</v>
      </c>
    </row>
    <row r="45" spans="1:5" ht="18" customHeight="1">
      <c r="A45" s="174" t="s">
        <v>219</v>
      </c>
      <c r="B45" s="170">
        <v>0</v>
      </c>
      <c r="C45" s="171">
        <v>0</v>
      </c>
      <c r="D45" s="172" t="str">
        <f t="shared" si="0"/>
        <v>   </v>
      </c>
      <c r="E45" s="173">
        <f t="shared" si="1"/>
        <v>0</v>
      </c>
    </row>
    <row r="46" spans="1:5" ht="29.25" customHeight="1">
      <c r="A46" s="175" t="s">
        <v>11</v>
      </c>
      <c r="B46" s="167">
        <f>SUM(B32,B33,)</f>
        <v>33391513.98</v>
      </c>
      <c r="C46" s="167">
        <f>SUM(C32,C33,)</f>
        <v>25751929.79</v>
      </c>
      <c r="D46" s="157">
        <f t="shared" si="0"/>
        <v>77.12118056529043</v>
      </c>
      <c r="E46" s="158">
        <f t="shared" si="1"/>
        <v>-7639584.190000001</v>
      </c>
    </row>
    <row r="47" spans="1:5" ht="16.5" customHeight="1">
      <c r="A47" s="30"/>
      <c r="B47" s="178"/>
      <c r="C47" s="170"/>
      <c r="D47" s="172" t="str">
        <f t="shared" si="0"/>
        <v>   </v>
      </c>
      <c r="E47" s="173"/>
    </row>
    <row r="48" spans="1:5" ht="12.75">
      <c r="A48" s="179" t="s">
        <v>12</v>
      </c>
      <c r="B48" s="167"/>
      <c r="C48" s="180"/>
      <c r="D48" s="172" t="str">
        <f t="shared" si="0"/>
        <v>   </v>
      </c>
      <c r="E48" s="173"/>
    </row>
    <row r="49" spans="1:5" ht="18" customHeight="1">
      <c r="A49" s="174" t="s">
        <v>35</v>
      </c>
      <c r="B49" s="170">
        <f>SUM(B50,B52,B53)</f>
        <v>3181551</v>
      </c>
      <c r="C49" s="170">
        <f>SUM(C50,C52,C53)</f>
        <v>2361829.59</v>
      </c>
      <c r="D49" s="172">
        <f t="shared" si="0"/>
        <v>74.23516360416664</v>
      </c>
      <c r="E49" s="173">
        <f t="shared" si="1"/>
        <v>-819721.4100000001</v>
      </c>
    </row>
    <row r="50" spans="1:5" ht="16.5" customHeight="1">
      <c r="A50" s="174" t="s">
        <v>36</v>
      </c>
      <c r="B50" s="170">
        <v>2805175</v>
      </c>
      <c r="C50" s="171">
        <v>2240729.59</v>
      </c>
      <c r="D50" s="172">
        <f t="shared" si="0"/>
        <v>79.8784243407274</v>
      </c>
      <c r="E50" s="173">
        <f t="shared" si="1"/>
        <v>-564445.4100000001</v>
      </c>
    </row>
    <row r="51" spans="1:5" ht="12.75">
      <c r="A51" s="174" t="s">
        <v>122</v>
      </c>
      <c r="B51" s="170">
        <v>1485375</v>
      </c>
      <c r="C51" s="180">
        <v>1288365.71</v>
      </c>
      <c r="D51" s="172">
        <f t="shared" si="0"/>
        <v>86.73673045527224</v>
      </c>
      <c r="E51" s="173">
        <f t="shared" si="1"/>
        <v>-197009.29000000004</v>
      </c>
    </row>
    <row r="52" spans="1:5" ht="12.75">
      <c r="A52" s="174" t="s">
        <v>96</v>
      </c>
      <c r="B52" s="170">
        <v>176376</v>
      </c>
      <c r="C52" s="180">
        <v>0</v>
      </c>
      <c r="D52" s="172">
        <f t="shared" si="0"/>
        <v>0</v>
      </c>
      <c r="E52" s="173">
        <f t="shared" si="1"/>
        <v>-176376</v>
      </c>
    </row>
    <row r="53" spans="1:5" ht="12.75">
      <c r="A53" s="174" t="s">
        <v>52</v>
      </c>
      <c r="B53" s="171">
        <f>SUM(B54+B57+B55+B56)</f>
        <v>200000</v>
      </c>
      <c r="C53" s="171">
        <f>SUM(C54+C57+C55+C56)</f>
        <v>121100</v>
      </c>
      <c r="D53" s="172">
        <f t="shared" si="0"/>
        <v>60.550000000000004</v>
      </c>
      <c r="E53" s="173">
        <f t="shared" si="1"/>
        <v>-78900</v>
      </c>
    </row>
    <row r="54" spans="1:5" ht="26.25" customHeight="1">
      <c r="A54" s="120" t="s">
        <v>232</v>
      </c>
      <c r="B54" s="170">
        <v>0</v>
      </c>
      <c r="C54" s="170">
        <v>0</v>
      </c>
      <c r="D54" s="172" t="str">
        <f t="shared" si="0"/>
        <v>   </v>
      </c>
      <c r="E54" s="173">
        <f t="shared" si="1"/>
        <v>0</v>
      </c>
    </row>
    <row r="55" spans="1:5" ht="26.25" customHeight="1">
      <c r="A55" s="120" t="s">
        <v>233</v>
      </c>
      <c r="B55" s="170">
        <v>0</v>
      </c>
      <c r="C55" s="170">
        <v>0</v>
      </c>
      <c r="D55" s="172" t="str">
        <f t="shared" si="0"/>
        <v>   </v>
      </c>
      <c r="E55" s="173">
        <f t="shared" si="1"/>
        <v>0</v>
      </c>
    </row>
    <row r="56" spans="1:5" ht="26.25" customHeight="1">
      <c r="A56" s="120" t="s">
        <v>251</v>
      </c>
      <c r="B56" s="170">
        <v>200000</v>
      </c>
      <c r="C56" s="170">
        <v>121100</v>
      </c>
      <c r="D56" s="172">
        <f t="shared" si="0"/>
        <v>60.550000000000004</v>
      </c>
      <c r="E56" s="173">
        <f t="shared" si="1"/>
        <v>-78900</v>
      </c>
    </row>
    <row r="57" spans="1:5" ht="12.75">
      <c r="A57" s="16" t="s">
        <v>242</v>
      </c>
      <c r="B57" s="170">
        <v>0</v>
      </c>
      <c r="C57" s="170">
        <v>0</v>
      </c>
      <c r="D57" s="172" t="str">
        <f t="shared" si="0"/>
        <v>   </v>
      </c>
      <c r="E57" s="173">
        <f t="shared" si="1"/>
        <v>0</v>
      </c>
    </row>
    <row r="58" spans="1:5" ht="21" customHeight="1">
      <c r="A58" s="174" t="s">
        <v>49</v>
      </c>
      <c r="B58" s="171">
        <f>SUM(B59)</f>
        <v>285000</v>
      </c>
      <c r="C58" s="171">
        <f>SUM(C59)</f>
        <v>224694.15</v>
      </c>
      <c r="D58" s="172">
        <f t="shared" si="0"/>
        <v>78.84005263157896</v>
      </c>
      <c r="E58" s="173">
        <f t="shared" si="1"/>
        <v>-60305.850000000006</v>
      </c>
    </row>
    <row r="59" spans="1:5" ht="17.25" customHeight="1">
      <c r="A59" s="174" t="s">
        <v>108</v>
      </c>
      <c r="B59" s="170">
        <v>285000</v>
      </c>
      <c r="C59" s="171">
        <v>224694.15</v>
      </c>
      <c r="D59" s="172">
        <f t="shared" si="0"/>
        <v>78.84005263157896</v>
      </c>
      <c r="E59" s="173">
        <f t="shared" si="1"/>
        <v>-60305.850000000006</v>
      </c>
    </row>
    <row r="60" spans="1:5" ht="15.75" customHeight="1">
      <c r="A60" s="174" t="s">
        <v>37</v>
      </c>
      <c r="B60" s="171">
        <f>SUM(B61+B64)</f>
        <v>929200</v>
      </c>
      <c r="C60" s="171">
        <f>SUM(C61+C64)</f>
        <v>700313.09</v>
      </c>
      <c r="D60" s="172">
        <f t="shared" si="0"/>
        <v>75.36731489453294</v>
      </c>
      <c r="E60" s="173">
        <f t="shared" si="1"/>
        <v>-228886.91000000003</v>
      </c>
    </row>
    <row r="61" spans="1:5" ht="27" customHeight="1">
      <c r="A61" s="174" t="s">
        <v>86</v>
      </c>
      <c r="B61" s="170">
        <f>B62</f>
        <v>875200</v>
      </c>
      <c r="C61" s="170">
        <v>700313.09</v>
      </c>
      <c r="D61" s="172">
        <f t="shared" si="0"/>
        <v>80.01749200182815</v>
      </c>
      <c r="E61" s="173">
        <f t="shared" si="1"/>
        <v>-174886.91000000003</v>
      </c>
    </row>
    <row r="62" spans="1:5" ht="16.5" customHeight="1">
      <c r="A62" s="174" t="s">
        <v>97</v>
      </c>
      <c r="B62" s="170">
        <v>875200</v>
      </c>
      <c r="C62" s="170">
        <v>700313.09</v>
      </c>
      <c r="D62" s="172">
        <f t="shared" si="0"/>
        <v>80.01749200182815</v>
      </c>
      <c r="E62" s="173">
        <f t="shared" si="1"/>
        <v>-174886.91000000003</v>
      </c>
    </row>
    <row r="63" spans="1:5" ht="14.25" customHeight="1">
      <c r="A63" s="174" t="s">
        <v>122</v>
      </c>
      <c r="B63" s="170">
        <v>652900</v>
      </c>
      <c r="C63" s="171">
        <v>500467.71</v>
      </c>
      <c r="D63" s="172">
        <f t="shared" si="0"/>
        <v>76.6530418134477</v>
      </c>
      <c r="E63" s="173">
        <f t="shared" si="1"/>
        <v>-152432.28999999998</v>
      </c>
    </row>
    <row r="64" spans="1:5" ht="17.25" customHeight="1">
      <c r="A64" s="174" t="s">
        <v>129</v>
      </c>
      <c r="B64" s="170">
        <v>54000</v>
      </c>
      <c r="C64" s="171">
        <v>0</v>
      </c>
      <c r="D64" s="172">
        <f t="shared" si="0"/>
        <v>0</v>
      </c>
      <c r="E64" s="173">
        <f t="shared" si="1"/>
        <v>-54000</v>
      </c>
    </row>
    <row r="65" spans="1:5" ht="18" customHeight="1">
      <c r="A65" s="174" t="s">
        <v>38</v>
      </c>
      <c r="B65" s="170">
        <f>B71+B66+B69+B88</f>
        <v>5156125.8</v>
      </c>
      <c r="C65" s="170">
        <f>C71+C66+C69+C88</f>
        <v>3970531.6</v>
      </c>
      <c r="D65" s="172">
        <f t="shared" si="0"/>
        <v>77.00610407915184</v>
      </c>
      <c r="E65" s="173">
        <f t="shared" si="1"/>
        <v>-1185594.1999999997</v>
      </c>
    </row>
    <row r="66" spans="1:5" ht="18" customHeight="1">
      <c r="A66" s="87" t="s">
        <v>178</v>
      </c>
      <c r="B66" s="25">
        <f>SUM(B68,B67)</f>
        <v>78168.8</v>
      </c>
      <c r="C66" s="25">
        <f>SUM(C68,C67)</f>
        <v>23122.6</v>
      </c>
      <c r="D66" s="172">
        <f>IF(B66=0,"   ",C66/B66*100)</f>
        <v>29.580344075897287</v>
      </c>
      <c r="E66" s="173">
        <f>C66-B66</f>
        <v>-55046.200000000004</v>
      </c>
    </row>
    <row r="67" spans="1:5" ht="18" customHeight="1">
      <c r="A67" s="87" t="s">
        <v>183</v>
      </c>
      <c r="B67" s="25">
        <v>60000</v>
      </c>
      <c r="C67" s="25">
        <v>16900</v>
      </c>
      <c r="D67" s="172">
        <f>IF(B67=0,"   ",C67/B67*100)</f>
        <v>28.166666666666668</v>
      </c>
      <c r="E67" s="173">
        <f>C67-B67</f>
        <v>-43100</v>
      </c>
    </row>
    <row r="68" spans="1:5" ht="18" customHeight="1">
      <c r="A68" s="87" t="s">
        <v>179</v>
      </c>
      <c r="B68" s="25">
        <v>18168.8</v>
      </c>
      <c r="C68" s="170">
        <v>6222.6</v>
      </c>
      <c r="D68" s="172">
        <f>IF(B68=0,"   ",C68/B68*100)</f>
        <v>34.248822156664176</v>
      </c>
      <c r="E68" s="173">
        <f>C68-B68</f>
        <v>-11946.199999999999</v>
      </c>
    </row>
    <row r="69" spans="1:5" ht="18" customHeight="1">
      <c r="A69" s="87" t="s">
        <v>198</v>
      </c>
      <c r="B69" s="25">
        <f>SUM(B70)</f>
        <v>0</v>
      </c>
      <c r="C69" s="25">
        <f>SUM(C70)</f>
        <v>0</v>
      </c>
      <c r="D69" s="172" t="str">
        <f>IF(B69=0,"   ",C69/B69*100)</f>
        <v>   </v>
      </c>
      <c r="E69" s="173">
        <f>C69-B69</f>
        <v>0</v>
      </c>
    </row>
    <row r="70" spans="1:5" ht="18" customHeight="1">
      <c r="A70" s="87" t="s">
        <v>199</v>
      </c>
      <c r="B70" s="25">
        <v>0</v>
      </c>
      <c r="C70" s="170">
        <v>0</v>
      </c>
      <c r="D70" s="172" t="str">
        <f>IF(B70=0,"   ",C70/B70*100)</f>
        <v>   </v>
      </c>
      <c r="E70" s="173">
        <f>C70-B70</f>
        <v>0</v>
      </c>
    </row>
    <row r="71" spans="1:5" ht="18.75" customHeight="1">
      <c r="A71" s="182" t="s">
        <v>134</v>
      </c>
      <c r="B71" s="170">
        <f>B72+B76+B77+B78+B79+B73+B74+B82+B86+B75+B80+B81</f>
        <v>5077957</v>
      </c>
      <c r="C71" s="170">
        <f>C72+C76+C77+C78+C79+C73+C74+C82+C86+C75+C80+C81</f>
        <v>3947409</v>
      </c>
      <c r="D71" s="172">
        <f t="shared" si="0"/>
        <v>77.73616436689007</v>
      </c>
      <c r="E71" s="173">
        <f t="shared" si="1"/>
        <v>-1130548</v>
      </c>
    </row>
    <row r="72" spans="1:5" ht="18" customHeight="1">
      <c r="A72" s="183" t="s">
        <v>160</v>
      </c>
      <c r="B72" s="170">
        <v>0</v>
      </c>
      <c r="C72" s="170">
        <v>0</v>
      </c>
      <c r="D72" s="172" t="str">
        <f t="shared" si="0"/>
        <v>   </v>
      </c>
      <c r="E72" s="173">
        <f t="shared" si="1"/>
        <v>0</v>
      </c>
    </row>
    <row r="73" spans="1:5" ht="15" customHeight="1">
      <c r="A73" s="183" t="s">
        <v>156</v>
      </c>
      <c r="B73" s="170">
        <v>0</v>
      </c>
      <c r="C73" s="170">
        <v>0</v>
      </c>
      <c r="D73" s="172" t="str">
        <f t="shared" si="0"/>
        <v>   </v>
      </c>
      <c r="E73" s="173">
        <f t="shared" si="1"/>
        <v>0</v>
      </c>
    </row>
    <row r="74" spans="1:5" ht="14.25" customHeight="1">
      <c r="A74" s="183" t="s">
        <v>158</v>
      </c>
      <c r="B74" s="170">
        <v>440000</v>
      </c>
      <c r="C74" s="170">
        <v>161024</v>
      </c>
      <c r="D74" s="172">
        <f t="shared" si="0"/>
        <v>36.59636363636364</v>
      </c>
      <c r="E74" s="173">
        <f t="shared" si="1"/>
        <v>-278976</v>
      </c>
    </row>
    <row r="75" spans="1:5" ht="13.5" customHeight="1">
      <c r="A75" s="143" t="s">
        <v>235</v>
      </c>
      <c r="B75" s="170">
        <v>0</v>
      </c>
      <c r="C75" s="170">
        <v>0</v>
      </c>
      <c r="D75" s="172" t="str">
        <f t="shared" si="0"/>
        <v>   </v>
      </c>
      <c r="E75" s="173">
        <f t="shared" si="1"/>
        <v>0</v>
      </c>
    </row>
    <row r="76" spans="1:5" ht="25.5">
      <c r="A76" s="181" t="s">
        <v>135</v>
      </c>
      <c r="B76" s="170">
        <v>758000</v>
      </c>
      <c r="C76" s="170">
        <v>639110</v>
      </c>
      <c r="D76" s="172">
        <f t="shared" si="0"/>
        <v>84.31530343007915</v>
      </c>
      <c r="E76" s="173">
        <f t="shared" si="1"/>
        <v>-118890</v>
      </c>
    </row>
    <row r="77" spans="1:5" ht="22.5" customHeight="1">
      <c r="A77" s="181" t="s">
        <v>136</v>
      </c>
      <c r="B77" s="170">
        <v>1960000</v>
      </c>
      <c r="C77" s="170">
        <v>1358206</v>
      </c>
      <c r="D77" s="172">
        <f t="shared" si="0"/>
        <v>69.29622448979592</v>
      </c>
      <c r="E77" s="173">
        <f t="shared" si="1"/>
        <v>-601794</v>
      </c>
    </row>
    <row r="78" spans="1:5" ht="25.5" customHeight="1">
      <c r="A78" s="181" t="s">
        <v>149</v>
      </c>
      <c r="B78" s="170">
        <v>1615800</v>
      </c>
      <c r="C78" s="170">
        <v>1609536</v>
      </c>
      <c r="D78" s="172">
        <f t="shared" si="0"/>
        <v>99.61232825844782</v>
      </c>
      <c r="E78" s="173">
        <f t="shared" si="1"/>
        <v>-6264</v>
      </c>
    </row>
    <row r="79" spans="1:5" ht="17.25" customHeight="1">
      <c r="A79" s="181" t="s">
        <v>191</v>
      </c>
      <c r="B79" s="170">
        <v>179533</v>
      </c>
      <c r="C79" s="170">
        <v>179533</v>
      </c>
      <c r="D79" s="172">
        <f t="shared" si="0"/>
        <v>100</v>
      </c>
      <c r="E79" s="173">
        <f t="shared" si="1"/>
        <v>0</v>
      </c>
    </row>
    <row r="80" spans="1:5" ht="15" customHeight="1">
      <c r="A80" s="120" t="s">
        <v>236</v>
      </c>
      <c r="B80" s="170">
        <v>62024</v>
      </c>
      <c r="C80" s="170">
        <v>0</v>
      </c>
      <c r="D80" s="172">
        <f t="shared" si="0"/>
        <v>0</v>
      </c>
      <c r="E80" s="173">
        <f t="shared" si="1"/>
        <v>-62024</v>
      </c>
    </row>
    <row r="81" spans="1:5" ht="17.25" customHeight="1">
      <c r="A81" s="120" t="s">
        <v>234</v>
      </c>
      <c r="B81" s="170">
        <v>0</v>
      </c>
      <c r="C81" s="170">
        <v>0</v>
      </c>
      <c r="D81" s="172" t="str">
        <f t="shared" si="0"/>
        <v>   </v>
      </c>
      <c r="E81" s="173">
        <f t="shared" si="1"/>
        <v>0</v>
      </c>
    </row>
    <row r="82" spans="1:5" ht="18" customHeight="1">
      <c r="A82" s="181" t="s">
        <v>213</v>
      </c>
      <c r="B82" s="213">
        <f>B83+B85+B84</f>
        <v>0</v>
      </c>
      <c r="C82" s="213">
        <f>C83+C85+C84</f>
        <v>0</v>
      </c>
      <c r="D82" s="210" t="str">
        <f aca="true" t="shared" si="2" ref="D82:D89">IF(B82=0,"   ",C82/B82)</f>
        <v>   </v>
      </c>
      <c r="E82" s="211">
        <f t="shared" si="1"/>
        <v>0</v>
      </c>
    </row>
    <row r="83" spans="1:5" ht="15">
      <c r="A83" s="181" t="s">
        <v>210</v>
      </c>
      <c r="B83" s="213">
        <v>0</v>
      </c>
      <c r="C83" s="213">
        <v>0</v>
      </c>
      <c r="D83" s="210" t="str">
        <f t="shared" si="2"/>
        <v>   </v>
      </c>
      <c r="E83" s="211">
        <f t="shared" si="1"/>
        <v>0</v>
      </c>
    </row>
    <row r="84" spans="1:5" ht="15">
      <c r="A84" s="181" t="s">
        <v>211</v>
      </c>
      <c r="B84" s="213">
        <v>0</v>
      </c>
      <c r="C84" s="213">
        <v>0</v>
      </c>
      <c r="D84" s="210" t="str">
        <f t="shared" si="2"/>
        <v>   </v>
      </c>
      <c r="E84" s="211">
        <f t="shared" si="1"/>
        <v>0</v>
      </c>
    </row>
    <row r="85" spans="1:5" ht="15">
      <c r="A85" s="181" t="s">
        <v>212</v>
      </c>
      <c r="B85" s="213">
        <v>0</v>
      </c>
      <c r="C85" s="213">
        <v>0</v>
      </c>
      <c r="D85" s="210" t="str">
        <f t="shared" si="2"/>
        <v>   </v>
      </c>
      <c r="E85" s="211">
        <f t="shared" si="1"/>
        <v>0</v>
      </c>
    </row>
    <row r="86" spans="1:5" ht="15">
      <c r="A86" s="181" t="s">
        <v>217</v>
      </c>
      <c r="B86" s="213">
        <v>62600</v>
      </c>
      <c r="C86" s="213">
        <f>C87</f>
        <v>0</v>
      </c>
      <c r="D86" s="210">
        <f t="shared" si="2"/>
        <v>0</v>
      </c>
      <c r="E86" s="211">
        <f>C86-B86</f>
        <v>-62600</v>
      </c>
    </row>
    <row r="87" spans="1:5" ht="15">
      <c r="A87" s="181" t="s">
        <v>218</v>
      </c>
      <c r="B87" s="213">
        <v>62600</v>
      </c>
      <c r="C87" s="213">
        <v>0</v>
      </c>
      <c r="D87" s="210">
        <f t="shared" si="2"/>
        <v>0</v>
      </c>
      <c r="E87" s="211">
        <f>C87-B87</f>
        <v>-62600</v>
      </c>
    </row>
    <row r="88" spans="1:5" ht="15">
      <c r="A88" s="111" t="s">
        <v>207</v>
      </c>
      <c r="B88" s="213">
        <f>B89</f>
        <v>0</v>
      </c>
      <c r="C88" s="213">
        <f>C89</f>
        <v>0</v>
      </c>
      <c r="D88" s="210" t="str">
        <f t="shared" si="2"/>
        <v>   </v>
      </c>
      <c r="E88" s="211">
        <f>C88-B88</f>
        <v>0</v>
      </c>
    </row>
    <row r="89" spans="1:5" ht="26.25">
      <c r="A89" s="87" t="s">
        <v>208</v>
      </c>
      <c r="B89" s="213">
        <v>0</v>
      </c>
      <c r="C89" s="213">
        <v>0</v>
      </c>
      <c r="D89" s="210" t="str">
        <f t="shared" si="2"/>
        <v>   </v>
      </c>
      <c r="E89" s="211">
        <f>C89-B89</f>
        <v>0</v>
      </c>
    </row>
    <row r="90" spans="1:5" ht="18" customHeight="1">
      <c r="A90" s="174" t="s">
        <v>13</v>
      </c>
      <c r="B90" s="170">
        <f>SUM(B91,B94,B100)</f>
        <v>21755322.18</v>
      </c>
      <c r="C90" s="170">
        <f>SUM(C91,C94,C100)</f>
        <v>16275438.5</v>
      </c>
      <c r="D90" s="172">
        <f t="shared" si="0"/>
        <v>74.81129612946968</v>
      </c>
      <c r="E90" s="173">
        <f t="shared" si="1"/>
        <v>-5479883.68</v>
      </c>
    </row>
    <row r="91" spans="1:5" ht="18.75" customHeight="1">
      <c r="A91" s="98" t="s">
        <v>14</v>
      </c>
      <c r="B91" s="99">
        <f>SUM(B92:B93)</f>
        <v>1160000</v>
      </c>
      <c r="C91" s="99">
        <f>SUM(C92:C93)</f>
        <v>619400</v>
      </c>
      <c r="D91" s="172">
        <f t="shared" si="0"/>
        <v>53.39655172413793</v>
      </c>
      <c r="E91" s="173">
        <f t="shared" si="1"/>
        <v>-540600</v>
      </c>
    </row>
    <row r="92" spans="1:5" ht="12.75">
      <c r="A92" s="174" t="s">
        <v>102</v>
      </c>
      <c r="B92" s="170">
        <v>800000</v>
      </c>
      <c r="C92" s="171">
        <v>260000</v>
      </c>
      <c r="D92" s="172">
        <f t="shared" si="0"/>
        <v>32.5</v>
      </c>
      <c r="E92" s="173">
        <f t="shared" si="1"/>
        <v>-540000</v>
      </c>
    </row>
    <row r="93" spans="1:5" ht="12.75">
      <c r="A93" s="174" t="s">
        <v>214</v>
      </c>
      <c r="B93" s="170">
        <v>360000</v>
      </c>
      <c r="C93" s="171">
        <v>359400</v>
      </c>
      <c r="D93" s="172">
        <f t="shared" si="0"/>
        <v>99.83333333333333</v>
      </c>
      <c r="E93" s="173">
        <f t="shared" si="1"/>
        <v>-600</v>
      </c>
    </row>
    <row r="94" spans="1:5" ht="18" customHeight="1">
      <c r="A94" s="98" t="s">
        <v>64</v>
      </c>
      <c r="B94" s="99">
        <f>SUM(B95:B99)</f>
        <v>1436000</v>
      </c>
      <c r="C94" s="99">
        <f>SUM(C95:C99)</f>
        <v>559990.62</v>
      </c>
      <c r="D94" s="172">
        <f t="shared" si="0"/>
        <v>38.996561281337044</v>
      </c>
      <c r="E94" s="173">
        <f t="shared" si="1"/>
        <v>-876009.38</v>
      </c>
    </row>
    <row r="95" spans="1:5" ht="12.75">
      <c r="A95" s="174" t="s">
        <v>150</v>
      </c>
      <c r="B95" s="170">
        <v>286000</v>
      </c>
      <c r="C95" s="170">
        <v>109155.15</v>
      </c>
      <c r="D95" s="172">
        <f t="shared" si="0"/>
        <v>38.16613636363636</v>
      </c>
      <c r="E95" s="173">
        <f t="shared" si="1"/>
        <v>-176844.85</v>
      </c>
    </row>
    <row r="96" spans="1:5" ht="12.75">
      <c r="A96" s="174" t="s">
        <v>169</v>
      </c>
      <c r="B96" s="170">
        <v>250000</v>
      </c>
      <c r="C96" s="170">
        <v>200320.72</v>
      </c>
      <c r="D96" s="172">
        <f t="shared" si="0"/>
        <v>80.128288</v>
      </c>
      <c r="E96" s="173">
        <f t="shared" si="1"/>
        <v>-49679.28</v>
      </c>
    </row>
    <row r="97" spans="1:5" ht="25.5">
      <c r="A97" s="120" t="s">
        <v>223</v>
      </c>
      <c r="B97" s="170">
        <v>0</v>
      </c>
      <c r="C97" s="170"/>
      <c r="D97" s="172"/>
      <c r="E97" s="173"/>
    </row>
    <row r="98" spans="1:5" ht="25.5">
      <c r="A98" s="120" t="s">
        <v>256</v>
      </c>
      <c r="B98" s="170">
        <v>300000</v>
      </c>
      <c r="C98" s="170">
        <v>0</v>
      </c>
      <c r="D98" s="172">
        <f t="shared" si="0"/>
        <v>0</v>
      </c>
      <c r="E98" s="173">
        <f t="shared" si="1"/>
        <v>-300000</v>
      </c>
    </row>
    <row r="99" spans="1:5" ht="12.75">
      <c r="A99" s="174" t="s">
        <v>140</v>
      </c>
      <c r="B99" s="170">
        <v>600000</v>
      </c>
      <c r="C99" s="170">
        <v>250514.75</v>
      </c>
      <c r="D99" s="172">
        <f t="shared" si="0"/>
        <v>41.75245833333333</v>
      </c>
      <c r="E99" s="173">
        <f t="shared" si="1"/>
        <v>-349485.25</v>
      </c>
    </row>
    <row r="100" spans="1:5" ht="16.5" customHeight="1">
      <c r="A100" s="98" t="s">
        <v>63</v>
      </c>
      <c r="B100" s="99">
        <f>B101+B103+B104+B105+B106+B107+B111+B102</f>
        <v>19159322.18</v>
      </c>
      <c r="C100" s="99">
        <f>C101+C103+C104+C105+C106+C107+C111+C102</f>
        <v>15096047.879999999</v>
      </c>
      <c r="D100" s="172">
        <f t="shared" si="0"/>
        <v>78.7921813630674</v>
      </c>
      <c r="E100" s="173">
        <f t="shared" si="1"/>
        <v>-4063274.3000000007</v>
      </c>
    </row>
    <row r="101" spans="1:5" ht="12.75">
      <c r="A101" s="174" t="s">
        <v>65</v>
      </c>
      <c r="B101" s="170">
        <v>4978300</v>
      </c>
      <c r="C101" s="171">
        <v>3106239.57</v>
      </c>
      <c r="D101" s="172">
        <f t="shared" si="0"/>
        <v>62.3955882530181</v>
      </c>
      <c r="E101" s="173">
        <f t="shared" si="1"/>
        <v>-1872060.4300000002</v>
      </c>
    </row>
    <row r="102" spans="1:5" ht="25.5">
      <c r="A102" s="16" t="s">
        <v>285</v>
      </c>
      <c r="B102" s="170">
        <v>130000</v>
      </c>
      <c r="C102" s="171">
        <v>91000</v>
      </c>
      <c r="D102" s="172">
        <f t="shared" si="0"/>
        <v>70</v>
      </c>
      <c r="E102" s="173">
        <f t="shared" si="1"/>
        <v>-39000</v>
      </c>
    </row>
    <row r="103" spans="1:5" ht="12.75">
      <c r="A103" s="174" t="s">
        <v>66</v>
      </c>
      <c r="B103" s="170">
        <v>250000</v>
      </c>
      <c r="C103" s="171">
        <v>180000</v>
      </c>
      <c r="D103" s="172">
        <f aca="true" t="shared" si="3" ref="D103:D124">IF(B103=0,"   ",C103/B103*100)</f>
        <v>72</v>
      </c>
      <c r="E103" s="173">
        <f t="shared" si="1"/>
        <v>-70000</v>
      </c>
    </row>
    <row r="104" spans="1:5" ht="12.75">
      <c r="A104" s="174" t="s">
        <v>67</v>
      </c>
      <c r="B104" s="170">
        <v>993900</v>
      </c>
      <c r="C104" s="171">
        <v>109800.49</v>
      </c>
      <c r="D104" s="172">
        <f t="shared" si="3"/>
        <v>11.0474383740819</v>
      </c>
      <c r="E104" s="173">
        <f t="shared" si="1"/>
        <v>-884099.51</v>
      </c>
    </row>
    <row r="105" spans="1:5" ht="12.75">
      <c r="A105" s="174" t="s">
        <v>68</v>
      </c>
      <c r="B105" s="170">
        <v>6057577</v>
      </c>
      <c r="C105" s="171">
        <v>4993337.69</v>
      </c>
      <c r="D105" s="172">
        <f t="shared" si="3"/>
        <v>82.43127062190048</v>
      </c>
      <c r="E105" s="173">
        <f t="shared" si="1"/>
        <v>-1064239.3099999996</v>
      </c>
    </row>
    <row r="106" spans="1:5" ht="14.25" customHeight="1">
      <c r="A106" s="174" t="s">
        <v>95</v>
      </c>
      <c r="B106" s="170">
        <v>139600</v>
      </c>
      <c r="C106" s="171">
        <v>126823.16</v>
      </c>
      <c r="D106" s="172">
        <f t="shared" si="3"/>
        <v>90.84753581661892</v>
      </c>
      <c r="E106" s="173">
        <f t="shared" si="1"/>
        <v>-12776.839999999997</v>
      </c>
    </row>
    <row r="107" spans="1:5" ht="18" customHeight="1">
      <c r="A107" s="181" t="s">
        <v>213</v>
      </c>
      <c r="B107" s="213">
        <f>B108+B110+B109</f>
        <v>6609945.18</v>
      </c>
      <c r="C107" s="213">
        <f>C108+C110+C109</f>
        <v>6488846.97</v>
      </c>
      <c r="D107" s="210">
        <f>IF(B107=0,"   ",C107/B107)</f>
        <v>0.9816793926874897</v>
      </c>
      <c r="E107" s="211">
        <f>C107-B107</f>
        <v>-121098.20999999996</v>
      </c>
    </row>
    <row r="108" spans="1:5" ht="15">
      <c r="A108" s="181" t="s">
        <v>210</v>
      </c>
      <c r="B108" s="213">
        <v>6209299.06</v>
      </c>
      <c r="C108" s="213">
        <v>6096521.5</v>
      </c>
      <c r="D108" s="210">
        <f>IF(B108=0,"   ",C108/B108)</f>
        <v>0.9818373122456757</v>
      </c>
      <c r="E108" s="211">
        <f>C108-B108</f>
        <v>-112777.55999999959</v>
      </c>
    </row>
    <row r="109" spans="1:5" ht="15">
      <c r="A109" s="181" t="s">
        <v>211</v>
      </c>
      <c r="B109" s="213">
        <v>198169.12</v>
      </c>
      <c r="C109" s="213">
        <v>194569.12</v>
      </c>
      <c r="D109" s="210">
        <f>IF(B109=0,"   ",C109/B109)</f>
        <v>0.9818336984087127</v>
      </c>
      <c r="E109" s="211">
        <f>C109-B109</f>
        <v>-3600</v>
      </c>
    </row>
    <row r="110" spans="1:5" ht="15">
      <c r="A110" s="120" t="s">
        <v>237</v>
      </c>
      <c r="B110" s="213">
        <v>202477</v>
      </c>
      <c r="C110" s="213">
        <v>197756.35</v>
      </c>
      <c r="D110" s="210">
        <f>IF(B110=0,"   ",C110/B110)</f>
        <v>0.9766855000814908</v>
      </c>
      <c r="E110" s="211">
        <f>C110-B110</f>
        <v>-4720.649999999994</v>
      </c>
    </row>
    <row r="111" spans="1:5" ht="15">
      <c r="A111" s="120" t="s">
        <v>238</v>
      </c>
      <c r="B111" s="213">
        <v>0</v>
      </c>
      <c r="C111" s="213">
        <v>0</v>
      </c>
      <c r="D111" s="210" t="str">
        <f>IF(B111=0,"   ",C111/B111)</f>
        <v>   </v>
      </c>
      <c r="E111" s="211">
        <f>C111-B111</f>
        <v>0</v>
      </c>
    </row>
    <row r="112" spans="1:5" ht="15" customHeight="1">
      <c r="A112" s="184" t="s">
        <v>17</v>
      </c>
      <c r="B112" s="185">
        <v>50000</v>
      </c>
      <c r="C112" s="185">
        <v>0</v>
      </c>
      <c r="D112" s="186">
        <f t="shared" si="3"/>
        <v>0</v>
      </c>
      <c r="E112" s="187">
        <f t="shared" si="1"/>
        <v>-50000</v>
      </c>
    </row>
    <row r="113" spans="1:5" ht="18.75" customHeight="1">
      <c r="A113" s="188" t="s">
        <v>41</v>
      </c>
      <c r="B113" s="189">
        <f>B114</f>
        <v>6366200</v>
      </c>
      <c r="C113" s="189">
        <f>C114</f>
        <v>5170193.48</v>
      </c>
      <c r="D113" s="186">
        <f t="shared" si="3"/>
        <v>81.2131802331061</v>
      </c>
      <c r="E113" s="187">
        <f t="shared" si="1"/>
        <v>-1196006.5199999996</v>
      </c>
    </row>
    <row r="114" spans="1:5" ht="15.75" customHeight="1">
      <c r="A114" s="188" t="s">
        <v>42</v>
      </c>
      <c r="B114" s="99">
        <f>B115+B116+B117+B119+B118</f>
        <v>6366200</v>
      </c>
      <c r="C114" s="99">
        <f>C115+C116+C117+C119+C118</f>
        <v>5170193.48</v>
      </c>
      <c r="D114" s="186">
        <f t="shared" si="3"/>
        <v>81.2131802331061</v>
      </c>
      <c r="E114" s="187">
        <f t="shared" si="1"/>
        <v>-1196006.5199999996</v>
      </c>
    </row>
    <row r="115" spans="1:5" ht="19.5" customHeight="1">
      <c r="A115" s="188" t="s">
        <v>151</v>
      </c>
      <c r="B115" s="185">
        <v>3916900</v>
      </c>
      <c r="C115" s="190">
        <v>3916900</v>
      </c>
      <c r="D115" s="186">
        <f t="shared" si="3"/>
        <v>100</v>
      </c>
      <c r="E115" s="187">
        <f t="shared" si="1"/>
        <v>0</v>
      </c>
    </row>
    <row r="116" spans="1:5" ht="16.5" customHeight="1">
      <c r="A116" s="16" t="s">
        <v>239</v>
      </c>
      <c r="B116" s="185">
        <v>1238800</v>
      </c>
      <c r="C116" s="190">
        <v>215300</v>
      </c>
      <c r="D116" s="186">
        <f t="shared" si="3"/>
        <v>17.379722311914755</v>
      </c>
      <c r="E116" s="187">
        <f t="shared" si="1"/>
        <v>-1023500</v>
      </c>
    </row>
    <row r="117" spans="1:5" ht="18" customHeight="1">
      <c r="A117" s="188" t="s">
        <v>152</v>
      </c>
      <c r="B117" s="185">
        <v>1157000</v>
      </c>
      <c r="C117" s="190">
        <v>984493.48</v>
      </c>
      <c r="D117" s="186">
        <f t="shared" si="3"/>
        <v>85.09018841832324</v>
      </c>
      <c r="E117" s="187">
        <f t="shared" si="1"/>
        <v>-172506.52000000002</v>
      </c>
    </row>
    <row r="118" spans="1:5" ht="18" customHeight="1">
      <c r="A118" s="16" t="s">
        <v>240</v>
      </c>
      <c r="B118" s="185">
        <v>10700</v>
      </c>
      <c r="C118" s="190">
        <v>10700</v>
      </c>
      <c r="D118" s="186">
        <f t="shared" si="3"/>
        <v>100</v>
      </c>
      <c r="E118" s="187">
        <f t="shared" si="1"/>
        <v>0</v>
      </c>
    </row>
    <row r="119" spans="1:5" ht="18" customHeight="1">
      <c r="A119" s="188" t="s">
        <v>221</v>
      </c>
      <c r="B119" s="185">
        <v>42800</v>
      </c>
      <c r="C119" s="190">
        <v>42800</v>
      </c>
      <c r="D119" s="186">
        <f t="shared" si="3"/>
        <v>100</v>
      </c>
      <c r="E119" s="187">
        <f t="shared" si="1"/>
        <v>0</v>
      </c>
    </row>
    <row r="120" spans="1:5" ht="12.75">
      <c r="A120" s="188" t="s">
        <v>125</v>
      </c>
      <c r="B120" s="185">
        <f>SUM(B121,)</f>
        <v>50000</v>
      </c>
      <c r="C120" s="185">
        <f>SUM(C121,)</f>
        <v>27385</v>
      </c>
      <c r="D120" s="186">
        <f t="shared" si="3"/>
        <v>54.769999999999996</v>
      </c>
      <c r="E120" s="187">
        <f t="shared" si="1"/>
        <v>-22615</v>
      </c>
    </row>
    <row r="121" spans="1:5" ht="14.25" customHeight="1">
      <c r="A121" s="188" t="s">
        <v>43</v>
      </c>
      <c r="B121" s="185">
        <v>50000</v>
      </c>
      <c r="C121" s="191">
        <v>27385</v>
      </c>
      <c r="D121" s="186">
        <f t="shared" si="3"/>
        <v>54.769999999999996</v>
      </c>
      <c r="E121" s="187">
        <f t="shared" si="1"/>
        <v>-22615</v>
      </c>
    </row>
    <row r="122" spans="1:5" ht="19.5" customHeight="1">
      <c r="A122" s="188" t="s">
        <v>153</v>
      </c>
      <c r="B122" s="99">
        <f>SUM(B123:B123)</f>
        <v>50000</v>
      </c>
      <c r="C122" s="99">
        <f>SUM(C123:C123)</f>
        <v>0</v>
      </c>
      <c r="D122" s="172">
        <f t="shared" si="3"/>
        <v>0</v>
      </c>
      <c r="E122" s="173">
        <f t="shared" si="1"/>
        <v>-50000</v>
      </c>
    </row>
    <row r="123" spans="1:5" ht="19.5" customHeight="1">
      <c r="A123" s="174" t="s">
        <v>154</v>
      </c>
      <c r="B123" s="99">
        <v>50000</v>
      </c>
      <c r="C123" s="100">
        <v>0</v>
      </c>
      <c r="D123" s="172">
        <f t="shared" si="3"/>
        <v>0</v>
      </c>
      <c r="E123" s="173">
        <f t="shared" si="1"/>
        <v>-50000</v>
      </c>
    </row>
    <row r="124" spans="1:5" ht="20.25" customHeight="1">
      <c r="A124" s="175" t="s">
        <v>15</v>
      </c>
      <c r="B124" s="167">
        <f>B49+B58+B60+B65+B90+B112+B113+B120+B122</f>
        <v>37823398.980000004</v>
      </c>
      <c r="C124" s="167">
        <f>C49+C58+C60+C65+C90+C112+C113+C120+C122</f>
        <v>28730385.41</v>
      </c>
      <c r="D124" s="157">
        <f t="shared" si="3"/>
        <v>75.95929024039287</v>
      </c>
      <c r="E124" s="158">
        <f t="shared" si="1"/>
        <v>-9093013.570000004</v>
      </c>
    </row>
    <row r="125" spans="1:5" s="69" customFormat="1" ht="23.25" customHeight="1">
      <c r="A125" s="92" t="s">
        <v>291</v>
      </c>
      <c r="B125" s="92"/>
      <c r="C125" s="247"/>
      <c r="D125" s="247"/>
      <c r="E125" s="247"/>
    </row>
    <row r="126" spans="1:5" s="69" customFormat="1" ht="12" customHeight="1">
      <c r="A126" s="92" t="s">
        <v>165</v>
      </c>
      <c r="B126" s="92"/>
      <c r="C126" s="93" t="s">
        <v>315</v>
      </c>
      <c r="D126" s="94"/>
      <c r="E126" s="95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  <row r="130" spans="1:5" ht="12.75">
      <c r="A130" s="7"/>
      <c r="B130" s="7"/>
      <c r="C130" s="6"/>
      <c r="D130" s="7"/>
      <c r="E130" s="2"/>
    </row>
  </sheetData>
  <sheetProtection/>
  <mergeCells count="2">
    <mergeCell ref="A1:E1"/>
    <mergeCell ref="C125:E12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54">
      <selection activeCell="D43" sqref="D43:E43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49" t="s">
        <v>304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243</v>
      </c>
      <c r="C4" s="32" t="s">
        <v>299</v>
      </c>
      <c r="D4" s="19" t="s">
        <v>246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24">
        <f>SUM(B8)</f>
        <v>36600</v>
      </c>
      <c r="C7" s="24">
        <f>SUM(C8)</f>
        <v>22224.55</v>
      </c>
      <c r="D7" s="26">
        <f aca="true" t="shared" si="0" ref="D7:D82">IF(B7=0,"   ",C7/B7*100)</f>
        <v>60.722814207650266</v>
      </c>
      <c r="E7" s="45">
        <f aca="true" t="shared" si="1" ref="E7:E83">C7-B7</f>
        <v>-14375.45</v>
      </c>
    </row>
    <row r="8" spans="1:5" ht="12.75">
      <c r="A8" s="16" t="s">
        <v>44</v>
      </c>
      <c r="B8" s="25">
        <v>36600</v>
      </c>
      <c r="C8" s="27">
        <v>22224.55</v>
      </c>
      <c r="D8" s="26">
        <f t="shared" si="0"/>
        <v>60.722814207650266</v>
      </c>
      <c r="E8" s="45">
        <f t="shared" si="1"/>
        <v>-14375.45</v>
      </c>
    </row>
    <row r="9" spans="1:5" ht="15" customHeight="1">
      <c r="A9" s="74" t="s">
        <v>144</v>
      </c>
      <c r="B9" s="24">
        <f>SUM(B10)</f>
        <v>550800</v>
      </c>
      <c r="C9" s="24">
        <f>SUM(C10)</f>
        <v>481363.92</v>
      </c>
      <c r="D9" s="26">
        <f t="shared" si="0"/>
        <v>87.39359477124182</v>
      </c>
      <c r="E9" s="45">
        <f t="shared" si="1"/>
        <v>-69436.08000000002</v>
      </c>
    </row>
    <row r="10" spans="1:5" ht="12.75">
      <c r="A10" s="43" t="s">
        <v>145</v>
      </c>
      <c r="B10" s="25">
        <v>550800</v>
      </c>
      <c r="C10" s="27">
        <v>481363.92</v>
      </c>
      <c r="D10" s="26">
        <f t="shared" si="0"/>
        <v>87.39359477124182</v>
      </c>
      <c r="E10" s="45">
        <f t="shared" si="1"/>
        <v>-69436.08000000002</v>
      </c>
    </row>
    <row r="11" spans="1:5" ht="18.75" customHeight="1">
      <c r="A11" s="16" t="s">
        <v>7</v>
      </c>
      <c r="B11" s="25">
        <f>SUM(B12:B12)</f>
        <v>0</v>
      </c>
      <c r="C11" s="25">
        <f>SUM(C12:C12)</f>
        <v>0</v>
      </c>
      <c r="D11" s="26" t="str">
        <f t="shared" si="0"/>
        <v>   </v>
      </c>
      <c r="E11" s="45">
        <f t="shared" si="1"/>
        <v>0</v>
      </c>
    </row>
    <row r="12" spans="1:5" ht="12.75">
      <c r="A12" s="16" t="s">
        <v>26</v>
      </c>
      <c r="B12" s="25">
        <v>0</v>
      </c>
      <c r="C12" s="27">
        <v>0</v>
      </c>
      <c r="D12" s="26" t="str">
        <f t="shared" si="0"/>
        <v>   </v>
      </c>
      <c r="E12" s="45">
        <f t="shared" si="1"/>
        <v>0</v>
      </c>
    </row>
    <row r="13" spans="1:5" ht="15" customHeight="1">
      <c r="A13" s="16" t="s">
        <v>9</v>
      </c>
      <c r="B13" s="25">
        <f>SUM(B14:B15)</f>
        <v>294000</v>
      </c>
      <c r="C13" s="25">
        <f>SUM(C14:C15)</f>
        <v>175192.9</v>
      </c>
      <c r="D13" s="26">
        <f t="shared" si="0"/>
        <v>59.58942176870748</v>
      </c>
      <c r="E13" s="45">
        <f t="shared" si="1"/>
        <v>-118807.1</v>
      </c>
    </row>
    <row r="14" spans="1:5" ht="12.75">
      <c r="A14" s="16" t="s">
        <v>27</v>
      </c>
      <c r="B14" s="25">
        <v>57000</v>
      </c>
      <c r="C14" s="27">
        <v>38854.97</v>
      </c>
      <c r="D14" s="26">
        <f t="shared" si="0"/>
        <v>68.16661403508772</v>
      </c>
      <c r="E14" s="45">
        <f t="shared" si="1"/>
        <v>-18145.03</v>
      </c>
    </row>
    <row r="15" spans="1:5" ht="12.75">
      <c r="A15" s="43" t="s">
        <v>173</v>
      </c>
      <c r="B15" s="31">
        <f>SUM(B16:B17)</f>
        <v>237000</v>
      </c>
      <c r="C15" s="31">
        <f>SUM(C16:C17)</f>
        <v>136337.93</v>
      </c>
      <c r="D15" s="26">
        <f t="shared" si="0"/>
        <v>57.52655274261603</v>
      </c>
      <c r="E15" s="45">
        <f t="shared" si="1"/>
        <v>-100662.07</v>
      </c>
    </row>
    <row r="16" spans="1:5" ht="12.75">
      <c r="A16" s="43" t="s">
        <v>174</v>
      </c>
      <c r="B16" s="31">
        <v>11400</v>
      </c>
      <c r="C16" s="79">
        <v>9327.29</v>
      </c>
      <c r="D16" s="26">
        <f t="shared" si="0"/>
        <v>81.81833333333334</v>
      </c>
      <c r="E16" s="45">
        <f t="shared" si="1"/>
        <v>-2072.709999999999</v>
      </c>
    </row>
    <row r="17" spans="1:5" ht="12.75">
      <c r="A17" s="43" t="s">
        <v>175</v>
      </c>
      <c r="B17" s="31">
        <v>225600</v>
      </c>
      <c r="C17" s="79">
        <v>127010.64</v>
      </c>
      <c r="D17" s="26">
        <f t="shared" si="0"/>
        <v>56.29904255319149</v>
      </c>
      <c r="E17" s="45">
        <f t="shared" si="1"/>
        <v>-98589.36</v>
      </c>
    </row>
    <row r="18" spans="1:5" ht="12.75">
      <c r="A18" s="43" t="s">
        <v>252</v>
      </c>
      <c r="B18" s="31">
        <v>0</v>
      </c>
      <c r="C18" s="79">
        <v>2100</v>
      </c>
      <c r="D18" s="26" t="str">
        <f t="shared" si="0"/>
        <v>   </v>
      </c>
      <c r="E18" s="45">
        <f t="shared" si="1"/>
        <v>2100</v>
      </c>
    </row>
    <row r="19" spans="1:5" ht="13.5" customHeight="1">
      <c r="A19" s="16" t="s">
        <v>89</v>
      </c>
      <c r="B19" s="25">
        <v>0</v>
      </c>
      <c r="C19" s="27">
        <v>51314.33</v>
      </c>
      <c r="D19" s="26" t="str">
        <f t="shared" si="0"/>
        <v>   </v>
      </c>
      <c r="E19" s="45">
        <f t="shared" si="1"/>
        <v>51314.33</v>
      </c>
    </row>
    <row r="20" spans="1:5" ht="24" customHeight="1">
      <c r="A20" s="16" t="s">
        <v>28</v>
      </c>
      <c r="B20" s="25">
        <f>SUM(B21:B22)</f>
        <v>132000</v>
      </c>
      <c r="C20" s="24">
        <f>SUM(C21:C22)</f>
        <v>1</v>
      </c>
      <c r="D20" s="26">
        <f t="shared" si="0"/>
        <v>0.0007575757575757576</v>
      </c>
      <c r="E20" s="45">
        <f t="shared" si="1"/>
        <v>-131999</v>
      </c>
    </row>
    <row r="21" spans="1:5" ht="12.75">
      <c r="A21" s="43" t="s">
        <v>163</v>
      </c>
      <c r="B21" s="25">
        <v>110000</v>
      </c>
      <c r="C21" s="27">
        <v>1</v>
      </c>
      <c r="D21" s="26">
        <f t="shared" si="0"/>
        <v>0.0009090909090909091</v>
      </c>
      <c r="E21" s="45">
        <f t="shared" si="1"/>
        <v>-109999</v>
      </c>
    </row>
    <row r="22" spans="1:5" ht="15" customHeight="1">
      <c r="A22" s="16" t="s">
        <v>30</v>
      </c>
      <c r="B22" s="25">
        <v>22000</v>
      </c>
      <c r="C22" s="27">
        <v>0</v>
      </c>
      <c r="D22" s="26">
        <f t="shared" si="0"/>
        <v>0</v>
      </c>
      <c r="E22" s="45">
        <f t="shared" si="1"/>
        <v>-22000</v>
      </c>
    </row>
    <row r="23" spans="1:5" ht="20.25" customHeight="1">
      <c r="A23" s="16" t="s">
        <v>83</v>
      </c>
      <c r="B23" s="25">
        <v>0</v>
      </c>
      <c r="C23" s="27">
        <v>0</v>
      </c>
      <c r="D23" s="26" t="str">
        <f t="shared" si="0"/>
        <v>   </v>
      </c>
      <c r="E23" s="45">
        <f t="shared" si="1"/>
        <v>0</v>
      </c>
    </row>
    <row r="24" spans="1:5" ht="17.25" customHeight="1">
      <c r="A24" s="16" t="s">
        <v>76</v>
      </c>
      <c r="B24" s="24">
        <f>B25</f>
        <v>0</v>
      </c>
      <c r="C24" s="24">
        <f>C25</f>
        <v>0</v>
      </c>
      <c r="D24" s="26" t="str">
        <f t="shared" si="0"/>
        <v>   </v>
      </c>
      <c r="E24" s="45">
        <f t="shared" si="1"/>
        <v>0</v>
      </c>
    </row>
    <row r="25" spans="1:5" ht="27.75" customHeight="1">
      <c r="A25" s="16" t="s">
        <v>77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32</v>
      </c>
      <c r="B26" s="25">
        <f>B27+B28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2.75">
      <c r="A27" s="16" t="s">
        <v>46</v>
      </c>
      <c r="B27" s="25">
        <v>0</v>
      </c>
      <c r="C27" s="25">
        <v>0</v>
      </c>
      <c r="D27" s="26" t="str">
        <f t="shared" si="0"/>
        <v>   </v>
      </c>
      <c r="E27" s="45"/>
    </row>
    <row r="28" spans="1:5" ht="12.75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16.5" customHeight="1">
      <c r="A30" s="192" t="s">
        <v>10</v>
      </c>
      <c r="B30" s="46">
        <f>SUM(B7,B9,B11,B13,B20,B23,B24,B26,B29,B19,B18)</f>
        <v>1013400</v>
      </c>
      <c r="C30" s="46">
        <f>SUM(C7,C9,C11,C13,C20,C23,C24,C26,C29,C19,C18)</f>
        <v>732196.7</v>
      </c>
      <c r="D30" s="26">
        <f t="shared" si="0"/>
        <v>72.25149990132228</v>
      </c>
      <c r="E30" s="45">
        <f t="shared" si="1"/>
        <v>-281203.30000000005</v>
      </c>
    </row>
    <row r="31" spans="1:5" ht="13.5" customHeight="1">
      <c r="A31" s="200" t="s">
        <v>147</v>
      </c>
      <c r="B31" s="214">
        <f>SUM(B32:B34,B37:B39,B42)</f>
        <v>2973077.2</v>
      </c>
      <c r="C31" s="214">
        <f>SUM(C32:C34,C37:C39,C42)</f>
        <v>2434808</v>
      </c>
      <c r="D31" s="157">
        <f t="shared" si="0"/>
        <v>81.89521617534855</v>
      </c>
      <c r="E31" s="158">
        <f t="shared" si="1"/>
        <v>-538269.2000000002</v>
      </c>
    </row>
    <row r="32" spans="1:5" ht="19.5" customHeight="1">
      <c r="A32" s="17" t="s">
        <v>34</v>
      </c>
      <c r="B32" s="24">
        <v>1287200</v>
      </c>
      <c r="C32" s="24">
        <v>1071000</v>
      </c>
      <c r="D32" s="26">
        <f t="shared" si="0"/>
        <v>83.20385332504662</v>
      </c>
      <c r="E32" s="45">
        <f t="shared" si="1"/>
        <v>-216200</v>
      </c>
    </row>
    <row r="33" spans="1:5" ht="30.75" customHeight="1">
      <c r="A33" s="150" t="s">
        <v>51</v>
      </c>
      <c r="B33" s="151">
        <v>71300</v>
      </c>
      <c r="C33" s="154">
        <v>71300</v>
      </c>
      <c r="D33" s="152">
        <f t="shared" si="0"/>
        <v>100</v>
      </c>
      <c r="E33" s="153">
        <f t="shared" si="1"/>
        <v>0</v>
      </c>
    </row>
    <row r="34" spans="1:5" ht="24.75" customHeight="1">
      <c r="A34" s="124" t="s">
        <v>157</v>
      </c>
      <c r="B34" s="151">
        <f>SUM(B35:B36)</f>
        <v>931.2</v>
      </c>
      <c r="C34" s="151">
        <f>SUM(C35:C36)</f>
        <v>100</v>
      </c>
      <c r="D34" s="152">
        <f t="shared" si="0"/>
        <v>10.738831615120274</v>
      </c>
      <c r="E34" s="153">
        <f t="shared" si="1"/>
        <v>-831.2</v>
      </c>
    </row>
    <row r="35" spans="1:5" ht="16.5" customHeight="1">
      <c r="A35" s="124" t="s">
        <v>176</v>
      </c>
      <c r="B35" s="151">
        <v>100</v>
      </c>
      <c r="C35" s="154">
        <v>100</v>
      </c>
      <c r="D35" s="152">
        <f t="shared" si="0"/>
        <v>100</v>
      </c>
      <c r="E35" s="153">
        <f t="shared" si="1"/>
        <v>0</v>
      </c>
    </row>
    <row r="36" spans="1:5" ht="25.5" customHeight="1">
      <c r="A36" s="124" t="s">
        <v>177</v>
      </c>
      <c r="B36" s="151">
        <v>831.2</v>
      </c>
      <c r="C36" s="154">
        <v>0</v>
      </c>
      <c r="D36" s="152">
        <f t="shared" si="0"/>
        <v>0</v>
      </c>
      <c r="E36" s="153">
        <f t="shared" si="1"/>
        <v>-831.2</v>
      </c>
    </row>
    <row r="37" spans="1:5" ht="40.5" customHeight="1">
      <c r="A37" s="159" t="s">
        <v>137</v>
      </c>
      <c r="B37" s="151">
        <v>816000</v>
      </c>
      <c r="C37" s="151">
        <v>816000</v>
      </c>
      <c r="D37" s="152">
        <f t="shared" si="0"/>
        <v>100</v>
      </c>
      <c r="E37" s="153">
        <f t="shared" si="1"/>
        <v>0</v>
      </c>
    </row>
    <row r="38" spans="1:5" ht="14.25" customHeight="1">
      <c r="A38" s="159" t="s">
        <v>184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5.75" customHeight="1">
      <c r="A39" s="16" t="s">
        <v>55</v>
      </c>
      <c r="B39" s="25">
        <f>B41+B40</f>
        <v>675746</v>
      </c>
      <c r="C39" s="25">
        <f>C41+C40</f>
        <v>406408</v>
      </c>
      <c r="D39" s="26">
        <f t="shared" si="0"/>
        <v>60.14212440769165</v>
      </c>
      <c r="E39" s="45">
        <f t="shared" si="1"/>
        <v>-269338</v>
      </c>
    </row>
    <row r="40" spans="1:5" ht="15" customHeight="1">
      <c r="A40" s="56" t="s">
        <v>224</v>
      </c>
      <c r="B40" s="25">
        <v>264846</v>
      </c>
      <c r="C40" s="25">
        <v>264846</v>
      </c>
      <c r="D40" s="26">
        <f>IF(B40=0,"   ",C40/B40*100)</f>
        <v>100</v>
      </c>
      <c r="E40" s="45">
        <f>C40-B40</f>
        <v>0</v>
      </c>
    </row>
    <row r="41" spans="1:5" s="7" customFormat="1" ht="16.5" customHeight="1">
      <c r="A41" s="16" t="s">
        <v>110</v>
      </c>
      <c r="B41" s="57">
        <v>410900</v>
      </c>
      <c r="C41" s="25">
        <v>141562</v>
      </c>
      <c r="D41" s="57">
        <f t="shared" si="0"/>
        <v>34.45169140910197</v>
      </c>
      <c r="E41" s="42">
        <f t="shared" si="1"/>
        <v>-269338</v>
      </c>
    </row>
    <row r="42" spans="1:5" s="7" customFormat="1" ht="16.5" customHeight="1">
      <c r="A42" s="16" t="s">
        <v>255</v>
      </c>
      <c r="B42" s="57">
        <v>121900</v>
      </c>
      <c r="C42" s="25">
        <v>70000</v>
      </c>
      <c r="D42" s="57">
        <f>IF(B42=0,"   ",C42/B42*100)</f>
        <v>57.42411812961444</v>
      </c>
      <c r="E42" s="42">
        <f>C42-B42</f>
        <v>-51900</v>
      </c>
    </row>
    <row r="43" spans="1:5" ht="20.25" customHeight="1">
      <c r="A43" s="192" t="s">
        <v>11</v>
      </c>
      <c r="B43" s="167">
        <f>SUM(B30,B31,)</f>
        <v>3986477.2</v>
      </c>
      <c r="C43" s="167">
        <f>SUM(C30,C31,)</f>
        <v>3167004.7</v>
      </c>
      <c r="D43" s="157">
        <f t="shared" si="0"/>
        <v>79.44369279222266</v>
      </c>
      <c r="E43" s="158">
        <f t="shared" si="1"/>
        <v>-819472.5</v>
      </c>
    </row>
    <row r="44" spans="1:5" ht="22.5" customHeight="1">
      <c r="A44" s="22" t="s">
        <v>12</v>
      </c>
      <c r="B44" s="47"/>
      <c r="C44" s="48"/>
      <c r="D44" s="26" t="str">
        <f t="shared" si="0"/>
        <v>   </v>
      </c>
      <c r="E44" s="45">
        <f t="shared" si="1"/>
        <v>0</v>
      </c>
    </row>
    <row r="45" spans="1:5" ht="21" customHeight="1">
      <c r="A45" s="16" t="s">
        <v>35</v>
      </c>
      <c r="B45" s="25">
        <f>SUM(B46,B48,B49)</f>
        <v>1033200</v>
      </c>
      <c r="C45" s="25">
        <f>SUM(C46,C48,C49)</f>
        <v>829097.07</v>
      </c>
      <c r="D45" s="26">
        <f t="shared" si="0"/>
        <v>80.24555458768873</v>
      </c>
      <c r="E45" s="45">
        <f t="shared" si="1"/>
        <v>-204102.93000000005</v>
      </c>
    </row>
    <row r="46" spans="1:5" ht="14.25" customHeight="1">
      <c r="A46" s="16" t="s">
        <v>36</v>
      </c>
      <c r="B46" s="25">
        <v>1032700</v>
      </c>
      <c r="C46" s="25">
        <v>829097.07</v>
      </c>
      <c r="D46" s="26">
        <f t="shared" si="0"/>
        <v>80.28440689454827</v>
      </c>
      <c r="E46" s="45">
        <f t="shared" si="1"/>
        <v>-203602.93000000005</v>
      </c>
    </row>
    <row r="47" spans="1:5" ht="12.75">
      <c r="A47" s="97" t="s">
        <v>122</v>
      </c>
      <c r="B47" s="25">
        <v>724500</v>
      </c>
      <c r="C47" s="28">
        <v>607100</v>
      </c>
      <c r="D47" s="26">
        <f t="shared" si="0"/>
        <v>83.79572118702553</v>
      </c>
      <c r="E47" s="45">
        <f t="shared" si="1"/>
        <v>-117400</v>
      </c>
    </row>
    <row r="48" spans="1:5" ht="12.75">
      <c r="A48" s="16" t="s">
        <v>96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5">
        <f>B50</f>
        <v>0</v>
      </c>
      <c r="C49" s="25">
        <f>C50</f>
        <v>0</v>
      </c>
      <c r="D49" s="26" t="str">
        <f t="shared" si="0"/>
        <v>   </v>
      </c>
      <c r="E49" s="45">
        <f t="shared" si="1"/>
        <v>0</v>
      </c>
    </row>
    <row r="50" spans="1:5" ht="25.5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19.5" customHeight="1">
      <c r="A51" s="16" t="s">
        <v>49</v>
      </c>
      <c r="B51" s="27">
        <f>SUM(B52)</f>
        <v>71300</v>
      </c>
      <c r="C51" s="27">
        <f>SUM(C52)</f>
        <v>56001.63</v>
      </c>
      <c r="D51" s="26">
        <f t="shared" si="0"/>
        <v>78.54366058906031</v>
      </c>
      <c r="E51" s="45">
        <f t="shared" si="1"/>
        <v>-15298.370000000003</v>
      </c>
    </row>
    <row r="52" spans="1:5" ht="15.75" customHeight="1">
      <c r="A52" s="16" t="s">
        <v>108</v>
      </c>
      <c r="B52" s="25">
        <v>71300</v>
      </c>
      <c r="C52" s="27">
        <v>56001.63</v>
      </c>
      <c r="D52" s="26">
        <f t="shared" si="0"/>
        <v>78.54366058906031</v>
      </c>
      <c r="E52" s="45">
        <f t="shared" si="1"/>
        <v>-15298.370000000003</v>
      </c>
    </row>
    <row r="53" spans="1:5" ht="21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9.5" customHeight="1">
      <c r="A55" s="16" t="s">
        <v>38</v>
      </c>
      <c r="B55" s="25">
        <f>SUM(B59+B56)</f>
        <v>1371631.2</v>
      </c>
      <c r="C55" s="25">
        <f>SUM(C59)</f>
        <v>1018465.71</v>
      </c>
      <c r="D55" s="26">
        <f t="shared" si="0"/>
        <v>74.25215393175658</v>
      </c>
      <c r="E55" s="45">
        <f t="shared" si="1"/>
        <v>-353165.49</v>
      </c>
    </row>
    <row r="56" spans="1:5" ht="15" customHeight="1">
      <c r="A56" s="87" t="s">
        <v>178</v>
      </c>
      <c r="B56" s="25">
        <f>SUM(B57+B58)</f>
        <v>831.2</v>
      </c>
      <c r="C56" s="25">
        <f>SUM(C57+C58)</f>
        <v>0</v>
      </c>
      <c r="D56" s="26">
        <f>IF(B56=0,"   ",C56/B56*100)</f>
        <v>0</v>
      </c>
      <c r="E56" s="45">
        <f>C56-B56</f>
        <v>-831.2</v>
      </c>
    </row>
    <row r="57" spans="1:5" ht="15.75" customHeight="1">
      <c r="A57" s="87" t="s">
        <v>179</v>
      </c>
      <c r="B57" s="25">
        <v>831.2</v>
      </c>
      <c r="C57" s="25">
        <v>0</v>
      </c>
      <c r="D57" s="26">
        <f>IF(B57=0,"   ",C57/B57*100)</f>
        <v>0</v>
      </c>
      <c r="E57" s="45">
        <f>C57-B57</f>
        <v>-831.2</v>
      </c>
    </row>
    <row r="58" spans="1:5" ht="19.5" customHeight="1">
      <c r="A58" s="87" t="s">
        <v>183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2.75" customHeight="1">
      <c r="A59" s="111" t="s">
        <v>134</v>
      </c>
      <c r="B59" s="25">
        <f>B60+B62+B63+B61</f>
        <v>1370800</v>
      </c>
      <c r="C59" s="25">
        <f>C60+C62+C63+C61</f>
        <v>1018465.71</v>
      </c>
      <c r="D59" s="26">
        <f t="shared" si="0"/>
        <v>74.29717756054858</v>
      </c>
      <c r="E59" s="45">
        <f t="shared" si="1"/>
        <v>-352334.29000000004</v>
      </c>
    </row>
    <row r="60" spans="1:5" ht="12" customHeight="1">
      <c r="A60" s="87" t="s">
        <v>148</v>
      </c>
      <c r="B60" s="25">
        <v>0</v>
      </c>
      <c r="C60" s="25">
        <v>0</v>
      </c>
      <c r="D60" s="26" t="str">
        <f t="shared" si="0"/>
        <v>   </v>
      </c>
      <c r="E60" s="153">
        <f t="shared" si="1"/>
        <v>0</v>
      </c>
    </row>
    <row r="61" spans="1:5" ht="15" customHeight="1">
      <c r="A61" s="87" t="s">
        <v>257</v>
      </c>
      <c r="B61" s="25">
        <v>816000</v>
      </c>
      <c r="C61" s="25">
        <v>813703.71</v>
      </c>
      <c r="D61" s="26">
        <f t="shared" si="0"/>
        <v>99.7185919117647</v>
      </c>
      <c r="E61" s="153">
        <f t="shared" si="1"/>
        <v>-2296.2900000000373</v>
      </c>
    </row>
    <row r="62" spans="1:5" ht="26.25" customHeight="1">
      <c r="A62" s="82" t="s">
        <v>135</v>
      </c>
      <c r="B62" s="25">
        <v>410900</v>
      </c>
      <c r="C62" s="25">
        <v>141562</v>
      </c>
      <c r="D62" s="26">
        <f t="shared" si="0"/>
        <v>34.45169140910197</v>
      </c>
      <c r="E62" s="45">
        <f t="shared" si="1"/>
        <v>-269338</v>
      </c>
    </row>
    <row r="63" spans="1:5" ht="23.25" customHeight="1">
      <c r="A63" s="82" t="s">
        <v>136</v>
      </c>
      <c r="B63" s="25">
        <v>143900</v>
      </c>
      <c r="C63" s="25">
        <v>63200</v>
      </c>
      <c r="D63" s="26">
        <f t="shared" si="0"/>
        <v>43.91938846421126</v>
      </c>
      <c r="E63" s="45">
        <f t="shared" si="1"/>
        <v>-80700</v>
      </c>
    </row>
    <row r="64" spans="1:5" ht="18.75" customHeight="1">
      <c r="A64" s="16" t="s">
        <v>13</v>
      </c>
      <c r="B64" s="25">
        <f>SUM(B69+B65+B67)</f>
        <v>705146</v>
      </c>
      <c r="C64" s="25">
        <f>SUM(C69+C65+C67)</f>
        <v>481676.27</v>
      </c>
      <c r="D64" s="26">
        <f t="shared" si="0"/>
        <v>68.30872897243975</v>
      </c>
      <c r="E64" s="45">
        <f t="shared" si="1"/>
        <v>-223469.72999999998</v>
      </c>
    </row>
    <row r="65" spans="1:5" ht="12.75" customHeight="1">
      <c r="A65" s="98" t="s">
        <v>14</v>
      </c>
      <c r="B65" s="25">
        <f>B66</f>
        <v>0</v>
      </c>
      <c r="C65" s="25">
        <f>C66</f>
        <v>0</v>
      </c>
      <c r="D65" s="26" t="str">
        <f>IF(B65=0,"   ",C65/B65*100)</f>
        <v>   </v>
      </c>
      <c r="E65" s="45">
        <f>C65-B65</f>
        <v>0</v>
      </c>
    </row>
    <row r="66" spans="1:5" ht="12.75" customHeight="1">
      <c r="A66" s="174" t="s">
        <v>186</v>
      </c>
      <c r="B66" s="25">
        <v>0</v>
      </c>
      <c r="C66" s="25">
        <v>0</v>
      </c>
      <c r="D66" s="26" t="str">
        <f>IF(B66=0,"   ",C66/B66*100)</f>
        <v>   </v>
      </c>
      <c r="E66" s="45">
        <f>C66-B66</f>
        <v>0</v>
      </c>
    </row>
    <row r="67" spans="1:5" ht="13.5" customHeight="1">
      <c r="A67" s="98" t="s">
        <v>64</v>
      </c>
      <c r="B67" s="25">
        <f>B68</f>
        <v>0</v>
      </c>
      <c r="C67" s="25">
        <f>C68</f>
        <v>0</v>
      </c>
      <c r="D67" s="26" t="str">
        <f>IF(B67=0,"   ",C67/B67*100)</f>
        <v>   </v>
      </c>
      <c r="E67" s="45">
        <f>C67-B67</f>
        <v>0</v>
      </c>
    </row>
    <row r="68" spans="1:5" ht="14.25" customHeight="1">
      <c r="A68" s="174" t="s">
        <v>187</v>
      </c>
      <c r="B68" s="25">
        <v>0</v>
      </c>
      <c r="C68" s="25">
        <v>0</v>
      </c>
      <c r="D68" s="26" t="str">
        <f>IF(B68=0,"   ",C68/B68*100)</f>
        <v>   </v>
      </c>
      <c r="E68" s="45">
        <f>C68-B68</f>
        <v>0</v>
      </c>
    </row>
    <row r="69" spans="1:5" ht="12.75">
      <c r="A69" s="16" t="s">
        <v>58</v>
      </c>
      <c r="B69" s="25">
        <f>B70+B72+B71+B77+B73</f>
        <v>705146</v>
      </c>
      <c r="C69" s="25">
        <f>C70+C72+C71+C77+C73</f>
        <v>481676.27</v>
      </c>
      <c r="D69" s="26">
        <f t="shared" si="0"/>
        <v>68.30872897243975</v>
      </c>
      <c r="E69" s="45">
        <f t="shared" si="1"/>
        <v>-223469.72999999998</v>
      </c>
    </row>
    <row r="70" spans="1:5" ht="12.75">
      <c r="A70" s="16" t="s">
        <v>56</v>
      </c>
      <c r="B70" s="25">
        <v>166400</v>
      </c>
      <c r="C70" s="27">
        <v>25266.27</v>
      </c>
      <c r="D70" s="26">
        <f t="shared" si="0"/>
        <v>15.184056490384615</v>
      </c>
      <c r="E70" s="45">
        <f t="shared" si="1"/>
        <v>-141133.73</v>
      </c>
    </row>
    <row r="71" spans="1:5" ht="25.5">
      <c r="A71" s="120" t="s">
        <v>180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2.75">
      <c r="A72" s="16" t="s">
        <v>59</v>
      </c>
      <c r="B72" s="25">
        <v>82000</v>
      </c>
      <c r="C72" s="27">
        <v>15000</v>
      </c>
      <c r="D72" s="26">
        <f t="shared" si="0"/>
        <v>18.29268292682927</v>
      </c>
      <c r="E72" s="45">
        <f t="shared" si="1"/>
        <v>-67000</v>
      </c>
    </row>
    <row r="73" spans="1:5" ht="13.5" customHeight="1">
      <c r="A73" s="120" t="s">
        <v>265</v>
      </c>
      <c r="B73" s="25">
        <f>SUM(B74:B76)</f>
        <v>456746</v>
      </c>
      <c r="C73" s="25">
        <f>SUM(C74:C76)</f>
        <v>441410</v>
      </c>
      <c r="D73" s="26">
        <f>IF(B73=0,"   ",C73/B73*100)</f>
        <v>96.64233512718229</v>
      </c>
      <c r="E73" s="45">
        <f>C73-B73</f>
        <v>-15336</v>
      </c>
    </row>
    <row r="74" spans="1:5" ht="25.5">
      <c r="A74" s="120" t="s">
        <v>272</v>
      </c>
      <c r="B74" s="25">
        <v>264846</v>
      </c>
      <c r="C74" s="27">
        <v>264846</v>
      </c>
      <c r="D74" s="26">
        <f t="shared" si="0"/>
        <v>100</v>
      </c>
      <c r="E74" s="45">
        <f t="shared" si="1"/>
        <v>0</v>
      </c>
    </row>
    <row r="75" spans="1:5" ht="25.5">
      <c r="A75" s="120" t="s">
        <v>273</v>
      </c>
      <c r="B75" s="25">
        <v>121900</v>
      </c>
      <c r="C75" s="27">
        <v>106564</v>
      </c>
      <c r="D75" s="26">
        <f t="shared" si="0"/>
        <v>87.41919606234619</v>
      </c>
      <c r="E75" s="45">
        <f t="shared" si="1"/>
        <v>-15336</v>
      </c>
    </row>
    <row r="76" spans="1:5" ht="25.5">
      <c r="A76" s="120" t="s">
        <v>274</v>
      </c>
      <c r="B76" s="25">
        <v>70000</v>
      </c>
      <c r="C76" s="27">
        <v>70000</v>
      </c>
      <c r="D76" s="26">
        <f t="shared" si="0"/>
        <v>100</v>
      </c>
      <c r="E76" s="45">
        <f t="shared" si="1"/>
        <v>0</v>
      </c>
    </row>
    <row r="77" spans="1:5" ht="12.75">
      <c r="A77" s="174" t="s">
        <v>95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4.25" customHeight="1">
      <c r="A78" s="18" t="s">
        <v>17</v>
      </c>
      <c r="B78" s="31">
        <v>8000</v>
      </c>
      <c r="C78" s="31">
        <v>8000</v>
      </c>
      <c r="D78" s="26">
        <f t="shared" si="0"/>
        <v>100</v>
      </c>
      <c r="E78" s="45">
        <f t="shared" si="1"/>
        <v>0</v>
      </c>
    </row>
    <row r="79" spans="1:5" ht="13.5" customHeight="1">
      <c r="A79" s="16" t="s">
        <v>41</v>
      </c>
      <c r="B79" s="24">
        <f>B80</f>
        <v>848400</v>
      </c>
      <c r="C79" s="24">
        <f>C80</f>
        <v>764236</v>
      </c>
      <c r="D79" s="26">
        <f t="shared" si="0"/>
        <v>90.07967939651108</v>
      </c>
      <c r="E79" s="45">
        <f t="shared" si="1"/>
        <v>-84164</v>
      </c>
    </row>
    <row r="80" spans="1:5" ht="12.75">
      <c r="A80" s="16" t="s">
        <v>42</v>
      </c>
      <c r="B80" s="25">
        <v>848400</v>
      </c>
      <c r="C80" s="27">
        <v>764236</v>
      </c>
      <c r="D80" s="26">
        <f t="shared" si="0"/>
        <v>90.07967939651108</v>
      </c>
      <c r="E80" s="45">
        <f t="shared" si="1"/>
        <v>-84164</v>
      </c>
    </row>
    <row r="81" spans="1:5" ht="18.75" customHeight="1">
      <c r="A81" s="16" t="s">
        <v>125</v>
      </c>
      <c r="B81" s="25">
        <f>SUM(B82,)</f>
        <v>18400</v>
      </c>
      <c r="C81" s="25">
        <f>SUM(C82,)</f>
        <v>0</v>
      </c>
      <c r="D81" s="26">
        <f t="shared" si="0"/>
        <v>0</v>
      </c>
      <c r="E81" s="45">
        <f t="shared" si="1"/>
        <v>-18400</v>
      </c>
    </row>
    <row r="82" spans="1:5" ht="12.75">
      <c r="A82" s="16" t="s">
        <v>43</v>
      </c>
      <c r="B82" s="25">
        <v>18400</v>
      </c>
      <c r="C82" s="28">
        <v>0</v>
      </c>
      <c r="D82" s="26">
        <f t="shared" si="0"/>
        <v>0</v>
      </c>
      <c r="E82" s="45">
        <f t="shared" si="1"/>
        <v>-18400</v>
      </c>
    </row>
    <row r="83" spans="1:5" ht="22.5" customHeight="1">
      <c r="A83" s="192" t="s">
        <v>15</v>
      </c>
      <c r="B83" s="167">
        <f>B45+B51+B53+B55+B64+B78+B79+B81</f>
        <v>4056477.2</v>
      </c>
      <c r="C83" s="167">
        <f>C45+C51+C53+C55+C64+C78+C79+C81</f>
        <v>3157476.6799999997</v>
      </c>
      <c r="D83" s="157">
        <f>IF(B83=0,"   ",C83/B83*100)</f>
        <v>77.83790033381673</v>
      </c>
      <c r="E83" s="158">
        <f t="shared" si="1"/>
        <v>-899000.5200000005</v>
      </c>
    </row>
    <row r="84" spans="1:5" s="69" customFormat="1" ht="23.25" customHeight="1">
      <c r="A84" s="92" t="s">
        <v>291</v>
      </c>
      <c r="B84" s="92"/>
      <c r="C84" s="247"/>
      <c r="D84" s="247"/>
      <c r="E84" s="247"/>
    </row>
    <row r="85" spans="1:5" s="69" customFormat="1" ht="12" customHeight="1">
      <c r="A85" s="92" t="s">
        <v>165</v>
      </c>
      <c r="B85" s="92"/>
      <c r="C85" s="93" t="s">
        <v>315</v>
      </c>
      <c r="D85" s="94"/>
      <c r="E85" s="95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sheetProtection/>
  <mergeCells count="2">
    <mergeCell ref="A1:E1"/>
    <mergeCell ref="C84:E84"/>
  </mergeCells>
  <printOptions/>
  <pageMargins left="0.984251968503937" right="0.7874015748031497" top="0.5118110236220472" bottom="0.472440944881889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9">
      <selection activeCell="D44" sqref="D44:E44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49" t="s">
        <v>302</v>
      </c>
      <c r="B1" s="249"/>
      <c r="C1" s="249"/>
      <c r="D1" s="249"/>
      <c r="E1" s="24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243</v>
      </c>
      <c r="C4" s="32" t="s">
        <v>303</v>
      </c>
      <c r="D4" s="19" t="s">
        <v>248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24">
        <f>SUM(B8)</f>
        <v>346900</v>
      </c>
      <c r="C7" s="24">
        <f>SUM(C8)</f>
        <v>284086.03</v>
      </c>
      <c r="D7" s="26">
        <f aca="true" t="shared" si="0" ref="D7:D84">IF(B7=0,"   ",C7/B7*100)</f>
        <v>81.89277313346787</v>
      </c>
      <c r="E7" s="45">
        <f aca="true" t="shared" si="1" ref="E7:E85">C7-B7</f>
        <v>-62813.96999999997</v>
      </c>
    </row>
    <row r="8" spans="1:5" ht="12.75">
      <c r="A8" s="16" t="s">
        <v>44</v>
      </c>
      <c r="B8" s="25">
        <v>346900</v>
      </c>
      <c r="C8" s="27">
        <v>284086.03</v>
      </c>
      <c r="D8" s="26">
        <f t="shared" si="0"/>
        <v>81.89277313346787</v>
      </c>
      <c r="E8" s="45">
        <f t="shared" si="1"/>
        <v>-62813.96999999997</v>
      </c>
    </row>
    <row r="9" spans="1:5" ht="18" customHeight="1">
      <c r="A9" s="74" t="s">
        <v>144</v>
      </c>
      <c r="B9" s="24">
        <f>SUM(B10)</f>
        <v>422700</v>
      </c>
      <c r="C9" s="24">
        <f>SUM(C10)</f>
        <v>369418.79</v>
      </c>
      <c r="D9" s="26">
        <f t="shared" si="0"/>
        <v>87.39502957180034</v>
      </c>
      <c r="E9" s="45">
        <f t="shared" si="1"/>
        <v>-53281.21000000002</v>
      </c>
    </row>
    <row r="10" spans="1:5" ht="12.75">
      <c r="A10" s="43" t="s">
        <v>145</v>
      </c>
      <c r="B10" s="25">
        <v>422700</v>
      </c>
      <c r="C10" s="27">
        <v>369418.79</v>
      </c>
      <c r="D10" s="26">
        <f t="shared" si="0"/>
        <v>87.39502957180034</v>
      </c>
      <c r="E10" s="45">
        <f t="shared" si="1"/>
        <v>-53281.21000000002</v>
      </c>
    </row>
    <row r="11" spans="1:5" ht="16.5" customHeight="1">
      <c r="A11" s="16" t="s">
        <v>7</v>
      </c>
      <c r="B11" s="25">
        <f>SUM(B12:B12)</f>
        <v>2000</v>
      </c>
      <c r="C11" s="25">
        <f>C12</f>
        <v>20418.82</v>
      </c>
      <c r="D11" s="26">
        <f t="shared" si="0"/>
        <v>1020.941</v>
      </c>
      <c r="E11" s="45">
        <f t="shared" si="1"/>
        <v>18418.82</v>
      </c>
    </row>
    <row r="12" spans="1:5" ht="12.75">
      <c r="A12" s="16" t="s">
        <v>26</v>
      </c>
      <c r="B12" s="25">
        <v>2000</v>
      </c>
      <c r="C12" s="27">
        <v>20418.82</v>
      </c>
      <c r="D12" s="26">
        <f t="shared" si="0"/>
        <v>1020.941</v>
      </c>
      <c r="E12" s="45">
        <f t="shared" si="1"/>
        <v>18418.82</v>
      </c>
    </row>
    <row r="13" spans="1:5" ht="18" customHeight="1">
      <c r="A13" s="16" t="s">
        <v>9</v>
      </c>
      <c r="B13" s="25">
        <f>SUM(B14:B15)</f>
        <v>1184000</v>
      </c>
      <c r="C13" s="25">
        <f>SUM(C14:C15)</f>
        <v>393379.43</v>
      </c>
      <c r="D13" s="26">
        <f t="shared" si="0"/>
        <v>33.22461402027027</v>
      </c>
      <c r="E13" s="45">
        <f t="shared" si="1"/>
        <v>-790620.5700000001</v>
      </c>
    </row>
    <row r="14" spans="1:5" ht="12.75">
      <c r="A14" s="16" t="s">
        <v>27</v>
      </c>
      <c r="B14" s="25">
        <v>159000</v>
      </c>
      <c r="C14" s="27">
        <v>99522.49</v>
      </c>
      <c r="D14" s="26">
        <f t="shared" si="0"/>
        <v>62.59276100628931</v>
      </c>
      <c r="E14" s="45">
        <f t="shared" si="1"/>
        <v>-59477.509999999995</v>
      </c>
    </row>
    <row r="15" spans="1:5" ht="12.75">
      <c r="A15" s="43" t="s">
        <v>173</v>
      </c>
      <c r="B15" s="31">
        <f>SUM(B16:B17)</f>
        <v>1025000</v>
      </c>
      <c r="C15" s="31">
        <f>SUM(C16:C17)</f>
        <v>293856.94</v>
      </c>
      <c r="D15" s="26">
        <f t="shared" si="0"/>
        <v>28.66896975609756</v>
      </c>
      <c r="E15" s="45">
        <f t="shared" si="1"/>
        <v>-731143.06</v>
      </c>
    </row>
    <row r="16" spans="1:5" ht="12.75">
      <c r="A16" s="43" t="s">
        <v>174</v>
      </c>
      <c r="B16" s="31">
        <v>282400</v>
      </c>
      <c r="C16" s="79">
        <v>116295.73</v>
      </c>
      <c r="D16" s="26">
        <f t="shared" si="0"/>
        <v>41.18120750708215</v>
      </c>
      <c r="E16" s="45">
        <f t="shared" si="1"/>
        <v>-166104.27000000002</v>
      </c>
    </row>
    <row r="17" spans="1:5" ht="12.75">
      <c r="A17" s="43" t="s">
        <v>175</v>
      </c>
      <c r="B17" s="31">
        <v>742600</v>
      </c>
      <c r="C17" s="79">
        <v>177561.21</v>
      </c>
      <c r="D17" s="26">
        <f t="shared" si="0"/>
        <v>23.91074737409103</v>
      </c>
      <c r="E17" s="45">
        <f t="shared" si="1"/>
        <v>-565038.79</v>
      </c>
    </row>
    <row r="18" spans="1:5" ht="12.75">
      <c r="A18" s="43" t="s">
        <v>252</v>
      </c>
      <c r="B18" s="31">
        <v>12200</v>
      </c>
      <c r="C18" s="79">
        <v>12800</v>
      </c>
      <c r="D18" s="26">
        <f t="shared" si="0"/>
        <v>104.91803278688525</v>
      </c>
      <c r="E18" s="45">
        <f t="shared" si="1"/>
        <v>600</v>
      </c>
    </row>
    <row r="19" spans="1:5" ht="26.25" customHeight="1">
      <c r="A19" s="16" t="s">
        <v>89</v>
      </c>
      <c r="B19" s="25">
        <v>0</v>
      </c>
      <c r="C19" s="27">
        <v>0</v>
      </c>
      <c r="D19" s="26" t="str">
        <f t="shared" si="0"/>
        <v>   </v>
      </c>
      <c r="E19" s="45">
        <f t="shared" si="1"/>
        <v>0</v>
      </c>
    </row>
    <row r="20" spans="1:5" ht="30" customHeight="1">
      <c r="A20" s="16" t="s">
        <v>28</v>
      </c>
      <c r="B20" s="25">
        <f>SUM(B21:B24)</f>
        <v>68700</v>
      </c>
      <c r="C20" s="25">
        <f>SUM(C21:C24)</f>
        <v>35361.18</v>
      </c>
      <c r="D20" s="26">
        <f t="shared" si="0"/>
        <v>51.47187772925764</v>
      </c>
      <c r="E20" s="45">
        <f t="shared" si="1"/>
        <v>-33338.82</v>
      </c>
    </row>
    <row r="21" spans="1:5" ht="12.75">
      <c r="A21" s="16" t="s">
        <v>29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12.75">
      <c r="A22" s="43" t="s">
        <v>163</v>
      </c>
      <c r="B22" s="25">
        <v>26000</v>
      </c>
      <c r="C22" s="27">
        <v>11155.74</v>
      </c>
      <c r="D22" s="26">
        <f t="shared" si="0"/>
        <v>42.90669230769231</v>
      </c>
      <c r="E22" s="45">
        <f t="shared" si="1"/>
        <v>-14844.26</v>
      </c>
    </row>
    <row r="23" spans="1:5" ht="15.75" customHeight="1">
      <c r="A23" s="16" t="s">
        <v>30</v>
      </c>
      <c r="B23" s="25">
        <v>26100</v>
      </c>
      <c r="C23" s="25">
        <v>4636</v>
      </c>
      <c r="D23" s="26">
        <f t="shared" si="0"/>
        <v>17.762452107279696</v>
      </c>
      <c r="E23" s="45">
        <f t="shared" si="1"/>
        <v>-21464</v>
      </c>
    </row>
    <row r="24" spans="1:5" ht="42" customHeight="1">
      <c r="A24" s="16" t="s">
        <v>294</v>
      </c>
      <c r="B24" s="25">
        <v>16600</v>
      </c>
      <c r="C24" s="25">
        <v>19569.44</v>
      </c>
      <c r="D24" s="26">
        <f t="shared" si="0"/>
        <v>117.88819277108433</v>
      </c>
      <c r="E24" s="45">
        <f t="shared" si="1"/>
        <v>2969.4399999999987</v>
      </c>
    </row>
    <row r="25" spans="1:5" ht="15.75" customHeight="1">
      <c r="A25" s="41" t="s">
        <v>92</v>
      </c>
      <c r="B25" s="25">
        <v>8800</v>
      </c>
      <c r="C25" s="27">
        <v>11061.8</v>
      </c>
      <c r="D25" s="26">
        <f t="shared" si="0"/>
        <v>125.70227272727273</v>
      </c>
      <c r="E25" s="45">
        <f t="shared" si="1"/>
        <v>2261.7999999999993</v>
      </c>
    </row>
    <row r="26" spans="1:5" ht="15" customHeight="1">
      <c r="A26" s="16" t="s">
        <v>78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43" t="s">
        <v>139</v>
      </c>
      <c r="B27" s="25">
        <v>0</v>
      </c>
      <c r="C27" s="25">
        <v>0</v>
      </c>
      <c r="D27" s="26" t="str">
        <f t="shared" si="0"/>
        <v>   </v>
      </c>
      <c r="E27" s="45">
        <f t="shared" si="1"/>
        <v>0</v>
      </c>
    </row>
    <row r="28" spans="1:5" ht="26.25" customHeight="1">
      <c r="A28" s="16" t="s">
        <v>79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16.5" customHeight="1">
      <c r="A29" s="16" t="s">
        <v>31</v>
      </c>
      <c r="B29" s="25">
        <v>0</v>
      </c>
      <c r="C29" s="25">
        <v>0</v>
      </c>
      <c r="D29" s="26"/>
      <c r="E29" s="45">
        <f t="shared" si="1"/>
        <v>0</v>
      </c>
    </row>
    <row r="30" spans="1:5" ht="18.75" customHeight="1">
      <c r="A30" s="16" t="s">
        <v>32</v>
      </c>
      <c r="B30" s="25">
        <f>B31+B32</f>
        <v>0</v>
      </c>
      <c r="C30" s="24">
        <f>C31+C32</f>
        <v>272.08</v>
      </c>
      <c r="D30" s="26" t="str">
        <f t="shared" si="0"/>
        <v>   </v>
      </c>
      <c r="E30" s="45">
        <f t="shared" si="1"/>
        <v>272.08</v>
      </c>
    </row>
    <row r="31" spans="1:5" ht="13.5" customHeight="1">
      <c r="A31" s="16" t="s">
        <v>128</v>
      </c>
      <c r="B31" s="25">
        <v>0</v>
      </c>
      <c r="C31" s="27">
        <v>272.08</v>
      </c>
      <c r="D31" s="26" t="str">
        <f t="shared" si="0"/>
        <v>   </v>
      </c>
      <c r="E31" s="45">
        <f t="shared" si="1"/>
        <v>272.08</v>
      </c>
    </row>
    <row r="32" spans="1:5" ht="13.5" customHeight="1">
      <c r="A32" s="16" t="s">
        <v>132</v>
      </c>
      <c r="B32" s="25">
        <v>0</v>
      </c>
      <c r="C32" s="27">
        <v>0</v>
      </c>
      <c r="D32" s="26"/>
      <c r="E32" s="45">
        <f t="shared" si="1"/>
        <v>0</v>
      </c>
    </row>
    <row r="33" spans="1:5" ht="33" customHeight="1">
      <c r="A33" s="192" t="s">
        <v>10</v>
      </c>
      <c r="B33" s="44">
        <f>SUM(B7,B9,B11,B13,B19,B20,B25,B26,B29,B30,B18)</f>
        <v>2045300</v>
      </c>
      <c r="C33" s="44">
        <f>SUM(C7,C9,C11,C13,C19,C20,C25,C26,C29,C30,C18)</f>
        <v>1126798.1300000001</v>
      </c>
      <c r="D33" s="26">
        <f t="shared" si="0"/>
        <v>55.09207108981569</v>
      </c>
      <c r="E33" s="45">
        <f t="shared" si="1"/>
        <v>-918501.8699999999</v>
      </c>
    </row>
    <row r="34" spans="1:5" ht="18.75" customHeight="1">
      <c r="A34" s="200" t="s">
        <v>147</v>
      </c>
      <c r="B34" s="214">
        <f>SUM(B35:B37,B40:B40,B43)</f>
        <v>3959682.25</v>
      </c>
      <c r="C34" s="214">
        <f>SUM(C35:C37,C40:C40,C43)</f>
        <v>3304898.05</v>
      </c>
      <c r="D34" s="157">
        <f t="shared" si="0"/>
        <v>83.46371858499504</v>
      </c>
      <c r="E34" s="158">
        <f t="shared" si="1"/>
        <v>-654784.2000000002</v>
      </c>
    </row>
    <row r="35" spans="1:5" ht="16.5" customHeight="1">
      <c r="A35" s="17" t="s">
        <v>34</v>
      </c>
      <c r="B35" s="24">
        <v>2587100</v>
      </c>
      <c r="C35" s="24">
        <v>2152500</v>
      </c>
      <c r="D35" s="26">
        <f t="shared" si="0"/>
        <v>83.2012678288431</v>
      </c>
      <c r="E35" s="45">
        <f t="shared" si="1"/>
        <v>-434600</v>
      </c>
    </row>
    <row r="36" spans="1:5" ht="24.75" customHeight="1">
      <c r="A36" s="150" t="s">
        <v>51</v>
      </c>
      <c r="B36" s="151">
        <v>142500</v>
      </c>
      <c r="C36" s="151">
        <v>142500</v>
      </c>
      <c r="D36" s="152">
        <f t="shared" si="0"/>
        <v>100</v>
      </c>
      <c r="E36" s="153">
        <f t="shared" si="1"/>
        <v>0</v>
      </c>
    </row>
    <row r="37" spans="1:5" ht="24.75" customHeight="1">
      <c r="A37" s="124" t="s">
        <v>157</v>
      </c>
      <c r="B37" s="151">
        <f>SUM(B38:B39)</f>
        <v>11100</v>
      </c>
      <c r="C37" s="151">
        <f>SUM(C38:C39)</f>
        <v>1582.8</v>
      </c>
      <c r="D37" s="152">
        <f t="shared" si="0"/>
        <v>14.259459459459459</v>
      </c>
      <c r="E37" s="153">
        <f t="shared" si="1"/>
        <v>-9517.2</v>
      </c>
    </row>
    <row r="38" spans="1:5" ht="12.75" customHeight="1">
      <c r="A38" s="124" t="s">
        <v>176</v>
      </c>
      <c r="B38" s="151">
        <v>200</v>
      </c>
      <c r="C38" s="151">
        <v>200</v>
      </c>
      <c r="D38" s="152">
        <f>IF(B38=0,"   ",C38/B38*100)</f>
        <v>100</v>
      </c>
      <c r="E38" s="153">
        <f>C38-B38</f>
        <v>0</v>
      </c>
    </row>
    <row r="39" spans="1:5" ht="24.75" customHeight="1">
      <c r="A39" s="124" t="s">
        <v>177</v>
      </c>
      <c r="B39" s="151">
        <v>10900</v>
      </c>
      <c r="C39" s="151">
        <v>1382.8</v>
      </c>
      <c r="D39" s="152">
        <f>IF(B39=0,"   ",C39/B39*100)</f>
        <v>12.686238532110092</v>
      </c>
      <c r="E39" s="153">
        <f>C39-B39</f>
        <v>-9517.2</v>
      </c>
    </row>
    <row r="40" spans="1:5" ht="18" customHeight="1">
      <c r="A40" s="16" t="s">
        <v>55</v>
      </c>
      <c r="B40" s="25">
        <f>B42+B41</f>
        <v>315100</v>
      </c>
      <c r="C40" s="25">
        <f>C42+C41</f>
        <v>104433</v>
      </c>
      <c r="D40" s="26">
        <f t="shared" si="0"/>
        <v>33.14281180577595</v>
      </c>
      <c r="E40" s="45">
        <f t="shared" si="1"/>
        <v>-210667</v>
      </c>
    </row>
    <row r="41" spans="1:5" ht="18" customHeight="1">
      <c r="A41" s="56" t="s">
        <v>225</v>
      </c>
      <c r="B41" s="25">
        <v>0</v>
      </c>
      <c r="C41" s="25">
        <v>0</v>
      </c>
      <c r="D41" s="26" t="str">
        <f t="shared" si="0"/>
        <v>   </v>
      </c>
      <c r="E41" s="45">
        <f t="shared" si="1"/>
        <v>0</v>
      </c>
    </row>
    <row r="42" spans="1:5" s="7" customFormat="1" ht="15.75" customHeight="1">
      <c r="A42" s="16" t="s">
        <v>110</v>
      </c>
      <c r="B42" s="57">
        <v>315100</v>
      </c>
      <c r="C42" s="25">
        <v>104433</v>
      </c>
      <c r="D42" s="57">
        <f t="shared" si="0"/>
        <v>33.14281180577595</v>
      </c>
      <c r="E42" s="42">
        <f t="shared" si="1"/>
        <v>-210667</v>
      </c>
    </row>
    <row r="43" spans="1:5" ht="39" customHeight="1">
      <c r="A43" s="16" t="s">
        <v>104</v>
      </c>
      <c r="B43" s="25">
        <v>903882.25</v>
      </c>
      <c r="C43" s="25">
        <v>903882.25</v>
      </c>
      <c r="D43" s="26">
        <f t="shared" si="0"/>
        <v>100</v>
      </c>
      <c r="E43" s="45">
        <f t="shared" si="1"/>
        <v>0</v>
      </c>
    </row>
    <row r="44" spans="1:5" ht="26.25" customHeight="1">
      <c r="A44" s="192" t="s">
        <v>11</v>
      </c>
      <c r="B44" s="167">
        <f>SUM(B33,B34,)</f>
        <v>6004982.25</v>
      </c>
      <c r="C44" s="167">
        <f>SUM(C33,C34,)</f>
        <v>4431696.18</v>
      </c>
      <c r="D44" s="157">
        <f t="shared" si="0"/>
        <v>73.80032105840112</v>
      </c>
      <c r="E44" s="158">
        <f t="shared" si="1"/>
        <v>-1573286.0700000003</v>
      </c>
    </row>
    <row r="45" spans="1:5" ht="12.75" customHeight="1">
      <c r="A45" s="22" t="s">
        <v>12</v>
      </c>
      <c r="B45" s="47"/>
      <c r="C45" s="48"/>
      <c r="D45" s="26" t="str">
        <f t="shared" si="0"/>
        <v>   </v>
      </c>
      <c r="E45" s="45"/>
    </row>
    <row r="46" spans="1:5" ht="24" customHeight="1">
      <c r="A46" s="16" t="s">
        <v>35</v>
      </c>
      <c r="B46" s="25">
        <f>SUM(B47,B49,B50)</f>
        <v>1132360</v>
      </c>
      <c r="C46" s="25">
        <f>SUM(C47,C49,C50)</f>
        <v>918639.02</v>
      </c>
      <c r="D46" s="26">
        <f t="shared" si="0"/>
        <v>81.12605708431948</v>
      </c>
      <c r="E46" s="45">
        <f t="shared" si="1"/>
        <v>-213720.97999999998</v>
      </c>
    </row>
    <row r="47" spans="1:5" ht="12.75" customHeight="1">
      <c r="A47" s="16" t="s">
        <v>36</v>
      </c>
      <c r="B47" s="25">
        <v>1128400</v>
      </c>
      <c r="C47" s="25">
        <v>915179.02</v>
      </c>
      <c r="D47" s="26">
        <f t="shared" si="0"/>
        <v>81.10413151364764</v>
      </c>
      <c r="E47" s="45">
        <f t="shared" si="1"/>
        <v>-213220.97999999998</v>
      </c>
    </row>
    <row r="48" spans="1:5" ht="12.75">
      <c r="A48" s="97" t="s">
        <v>122</v>
      </c>
      <c r="B48" s="25">
        <v>717400</v>
      </c>
      <c r="C48" s="28">
        <v>603000</v>
      </c>
      <c r="D48" s="26">
        <f t="shared" si="0"/>
        <v>84.05352662391971</v>
      </c>
      <c r="E48" s="45">
        <f t="shared" si="1"/>
        <v>-114400</v>
      </c>
    </row>
    <row r="49" spans="1:5" ht="12.75">
      <c r="A49" s="16" t="s">
        <v>96</v>
      </c>
      <c r="B49" s="25">
        <v>500</v>
      </c>
      <c r="C49" s="27">
        <v>0</v>
      </c>
      <c r="D49" s="26">
        <f t="shared" si="0"/>
        <v>0</v>
      </c>
      <c r="E49" s="45">
        <f t="shared" si="1"/>
        <v>-500</v>
      </c>
    </row>
    <row r="50" spans="1:5" ht="12.75">
      <c r="A50" s="16" t="s">
        <v>52</v>
      </c>
      <c r="B50" s="27">
        <f>SUM(B51:B53)</f>
        <v>3460</v>
      </c>
      <c r="C50" s="27">
        <f>SUM(C51:C53)</f>
        <v>3460</v>
      </c>
      <c r="D50" s="26">
        <f t="shared" si="0"/>
        <v>100</v>
      </c>
      <c r="E50" s="45">
        <f t="shared" si="1"/>
        <v>0</v>
      </c>
    </row>
    <row r="51" spans="1:5" ht="12.75">
      <c r="A51" s="120" t="s">
        <v>192</v>
      </c>
      <c r="B51" s="27">
        <v>0</v>
      </c>
      <c r="C51" s="27">
        <v>0</v>
      </c>
      <c r="D51" s="26" t="str">
        <f>IF(B51=0,"   ",C51/B51*100)</f>
        <v>   </v>
      </c>
      <c r="E51" s="45">
        <f>C51-B51</f>
        <v>0</v>
      </c>
    </row>
    <row r="52" spans="1:5" ht="38.25">
      <c r="A52" s="120" t="s">
        <v>260</v>
      </c>
      <c r="B52" s="27">
        <v>3460</v>
      </c>
      <c r="C52" s="27">
        <v>3460</v>
      </c>
      <c r="D52" s="26">
        <f>IF(B52=0,"   ",C52/B52*100)</f>
        <v>100</v>
      </c>
      <c r="E52" s="45">
        <f>C52-B52</f>
        <v>0</v>
      </c>
    </row>
    <row r="53" spans="1:5" ht="39.75" customHeight="1">
      <c r="A53" s="120" t="s">
        <v>193</v>
      </c>
      <c r="B53" s="25">
        <v>0</v>
      </c>
      <c r="C53" s="27">
        <v>0</v>
      </c>
      <c r="D53" s="26" t="str">
        <f t="shared" si="0"/>
        <v>   </v>
      </c>
      <c r="E53" s="45">
        <f t="shared" si="1"/>
        <v>0</v>
      </c>
    </row>
    <row r="54" spans="1:5" ht="22.5" customHeight="1">
      <c r="A54" s="16" t="s">
        <v>49</v>
      </c>
      <c r="B54" s="27">
        <f>SUM(B55)</f>
        <v>142500</v>
      </c>
      <c r="C54" s="27">
        <f>SUM(C55)</f>
        <v>104796.32</v>
      </c>
      <c r="D54" s="26">
        <f t="shared" si="0"/>
        <v>73.54127719298246</v>
      </c>
      <c r="E54" s="45">
        <f t="shared" si="1"/>
        <v>-37703.67999999999</v>
      </c>
    </row>
    <row r="55" spans="1:5" ht="12" customHeight="1">
      <c r="A55" s="16" t="s">
        <v>108</v>
      </c>
      <c r="B55" s="25">
        <v>142500</v>
      </c>
      <c r="C55" s="27">
        <v>104796.32</v>
      </c>
      <c r="D55" s="26">
        <f t="shared" si="0"/>
        <v>73.54127719298246</v>
      </c>
      <c r="E55" s="45">
        <f t="shared" si="1"/>
        <v>-37703.67999999999</v>
      </c>
    </row>
    <row r="56" spans="1:5" ht="16.5" customHeight="1">
      <c r="A56" s="16" t="s">
        <v>37</v>
      </c>
      <c r="B56" s="25">
        <f>SUM(B57)</f>
        <v>800</v>
      </c>
      <c r="C56" s="27">
        <f>SUM(C57)</f>
        <v>0</v>
      </c>
      <c r="D56" s="26">
        <f t="shared" si="0"/>
        <v>0</v>
      </c>
      <c r="E56" s="45">
        <f t="shared" si="1"/>
        <v>-800</v>
      </c>
    </row>
    <row r="57" spans="1:5" ht="16.5" customHeight="1">
      <c r="A57" s="43" t="s">
        <v>130</v>
      </c>
      <c r="B57" s="25">
        <v>800</v>
      </c>
      <c r="C57" s="27">
        <v>0</v>
      </c>
      <c r="D57" s="26">
        <f t="shared" si="0"/>
        <v>0</v>
      </c>
      <c r="E57" s="45">
        <f t="shared" si="1"/>
        <v>-800</v>
      </c>
    </row>
    <row r="58" spans="1:5" ht="21.75" customHeight="1">
      <c r="A58" s="16" t="s">
        <v>38</v>
      </c>
      <c r="B58" s="27">
        <f>B62+B59</f>
        <v>436300</v>
      </c>
      <c r="C58" s="27">
        <f>C62+C59</f>
        <v>172857</v>
      </c>
      <c r="D58" s="26">
        <f t="shared" si="0"/>
        <v>39.6188402475361</v>
      </c>
      <c r="E58" s="45">
        <f t="shared" si="1"/>
        <v>-263443</v>
      </c>
    </row>
    <row r="59" spans="1:5" ht="21.75" customHeight="1">
      <c r="A59" s="87" t="s">
        <v>178</v>
      </c>
      <c r="B59" s="25">
        <f>SUM(B60+B61)</f>
        <v>10900</v>
      </c>
      <c r="C59" s="25">
        <f>SUM(C60+C61)</f>
        <v>0</v>
      </c>
      <c r="D59" s="26">
        <f>IF(B59=0,"   ",C59/B59*100)</f>
        <v>0</v>
      </c>
      <c r="E59" s="45">
        <f>C59-B59</f>
        <v>-10900</v>
      </c>
    </row>
    <row r="60" spans="1:5" ht="21.75" customHeight="1">
      <c r="A60" s="87" t="s">
        <v>179</v>
      </c>
      <c r="B60" s="25">
        <v>10900</v>
      </c>
      <c r="C60" s="142">
        <v>0</v>
      </c>
      <c r="D60" s="26">
        <f>IF(B60=0,"   ",C60/B60*100)</f>
        <v>0</v>
      </c>
      <c r="E60" s="45">
        <f>C60-B60</f>
        <v>-10900</v>
      </c>
    </row>
    <row r="61" spans="1:5" ht="21.75" customHeight="1">
      <c r="A61" s="87" t="s">
        <v>183</v>
      </c>
      <c r="B61" s="134">
        <v>0</v>
      </c>
      <c r="C61" s="142">
        <v>0</v>
      </c>
      <c r="D61" s="26"/>
      <c r="E61" s="45"/>
    </row>
    <row r="62" spans="1:5" ht="12" customHeight="1">
      <c r="A62" s="111" t="s">
        <v>134</v>
      </c>
      <c r="B62" s="134">
        <f>B63+B66+B67+B64+B65</f>
        <v>425400</v>
      </c>
      <c r="C62" s="134">
        <f>C63+C66+C67+C64+C65</f>
        <v>172857</v>
      </c>
      <c r="D62" s="26">
        <f t="shared" si="0"/>
        <v>40.63399153737659</v>
      </c>
      <c r="E62" s="45">
        <f t="shared" si="1"/>
        <v>-252543</v>
      </c>
    </row>
    <row r="63" spans="1:5" ht="17.25" customHeight="1">
      <c r="A63" s="87" t="s">
        <v>160</v>
      </c>
      <c r="B63" s="25">
        <v>0</v>
      </c>
      <c r="C63" s="27">
        <v>0</v>
      </c>
      <c r="D63" s="26" t="str">
        <f t="shared" si="0"/>
        <v>   </v>
      </c>
      <c r="E63" s="45">
        <f t="shared" si="1"/>
        <v>0</v>
      </c>
    </row>
    <row r="64" spans="1:5" ht="17.25" customHeight="1">
      <c r="A64" s="87" t="s">
        <v>156</v>
      </c>
      <c r="B64" s="138">
        <v>0</v>
      </c>
      <c r="C64" s="27">
        <v>0</v>
      </c>
      <c r="D64" s="26" t="str">
        <f t="shared" si="0"/>
        <v>   </v>
      </c>
      <c r="E64" s="45">
        <f t="shared" si="1"/>
        <v>0</v>
      </c>
    </row>
    <row r="65" spans="1:5" ht="17.25" customHeight="1">
      <c r="A65" s="87" t="s">
        <v>188</v>
      </c>
      <c r="B65" s="138">
        <v>0</v>
      </c>
      <c r="C65" s="27">
        <v>0</v>
      </c>
      <c r="D65" s="26" t="str">
        <f t="shared" si="0"/>
        <v>   </v>
      </c>
      <c r="E65" s="45">
        <f t="shared" si="1"/>
        <v>0</v>
      </c>
    </row>
    <row r="66" spans="1:5" ht="27" customHeight="1">
      <c r="A66" s="164" t="s">
        <v>135</v>
      </c>
      <c r="B66" s="138">
        <v>315100</v>
      </c>
      <c r="C66" s="27">
        <v>104433</v>
      </c>
      <c r="D66" s="26">
        <f t="shared" si="0"/>
        <v>33.14281180577595</v>
      </c>
      <c r="E66" s="45">
        <f t="shared" si="1"/>
        <v>-210667</v>
      </c>
    </row>
    <row r="67" spans="1:5" ht="27" customHeight="1">
      <c r="A67" s="82" t="s">
        <v>136</v>
      </c>
      <c r="B67" s="130">
        <v>110300</v>
      </c>
      <c r="C67" s="27">
        <v>68424</v>
      </c>
      <c r="D67" s="26">
        <f t="shared" si="0"/>
        <v>62.034451495920216</v>
      </c>
      <c r="E67" s="45">
        <f t="shared" si="1"/>
        <v>-41876</v>
      </c>
    </row>
    <row r="68" spans="1:5" ht="20.25" customHeight="1">
      <c r="A68" s="16" t="s">
        <v>13</v>
      </c>
      <c r="B68" s="25">
        <f>SUM(B69,B71,B75,)</f>
        <v>1781322.25</v>
      </c>
      <c r="C68" s="25">
        <f>SUM(C69,C71,C75,)</f>
        <v>1331600.9</v>
      </c>
      <c r="D68" s="26">
        <f t="shared" si="0"/>
        <v>74.75350964711747</v>
      </c>
      <c r="E68" s="45">
        <f t="shared" si="1"/>
        <v>-449721.3500000001</v>
      </c>
    </row>
    <row r="69" spans="1:5" ht="12.75">
      <c r="A69" s="16" t="s">
        <v>14</v>
      </c>
      <c r="B69" s="25">
        <f>SUM(B70:B70)</f>
        <v>0</v>
      </c>
      <c r="C69" s="25">
        <f>SUM(C70:C70)</f>
        <v>0</v>
      </c>
      <c r="D69" s="26" t="str">
        <f t="shared" si="0"/>
        <v>   </v>
      </c>
      <c r="E69" s="45">
        <f t="shared" si="1"/>
        <v>0</v>
      </c>
    </row>
    <row r="70" spans="1:5" ht="15.75" customHeight="1">
      <c r="A70" s="16" t="s">
        <v>99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91</v>
      </c>
      <c r="B71" s="25">
        <f>SUM(B72:B74)</f>
        <v>922770.99</v>
      </c>
      <c r="C71" s="25">
        <f>SUM(C72:C74)</f>
        <v>914640.74</v>
      </c>
      <c r="D71" s="26">
        <f t="shared" si="0"/>
        <v>99.11893090613955</v>
      </c>
      <c r="E71" s="45">
        <f t="shared" si="1"/>
        <v>-8130.25</v>
      </c>
    </row>
    <row r="72" spans="1:5" ht="38.25">
      <c r="A72" s="16" t="s">
        <v>194</v>
      </c>
      <c r="B72" s="25">
        <v>903882.25</v>
      </c>
      <c r="C72" s="25">
        <v>895752</v>
      </c>
      <c r="D72" s="26">
        <f>IF(B72=0,"   ",C72/B72*100)</f>
        <v>99.1005189005537</v>
      </c>
      <c r="E72" s="45">
        <f>C72-B72</f>
        <v>-8130.25</v>
      </c>
    </row>
    <row r="73" spans="1:5" ht="38.25">
      <c r="A73" s="16" t="s">
        <v>261</v>
      </c>
      <c r="B73" s="25">
        <v>18888.74</v>
      </c>
      <c r="C73" s="25">
        <v>18888.74</v>
      </c>
      <c r="D73" s="26"/>
      <c r="E73" s="45"/>
    </row>
    <row r="74" spans="1:5" ht="12.75">
      <c r="A74" s="16" t="s">
        <v>170</v>
      </c>
      <c r="B74" s="25">
        <v>0</v>
      </c>
      <c r="C74" s="27">
        <v>0</v>
      </c>
      <c r="D74" s="26" t="str">
        <f t="shared" si="0"/>
        <v>   </v>
      </c>
      <c r="E74" s="45">
        <f t="shared" si="1"/>
        <v>0</v>
      </c>
    </row>
    <row r="75" spans="1:5" ht="12.75">
      <c r="A75" s="16" t="s">
        <v>69</v>
      </c>
      <c r="B75" s="25">
        <f>B76+B78+B77+B79</f>
        <v>858551.26</v>
      </c>
      <c r="C75" s="25">
        <f>C76+C78+C77+C79</f>
        <v>416960.16</v>
      </c>
      <c r="D75" s="26">
        <f t="shared" si="0"/>
        <v>48.565552160508155</v>
      </c>
      <c r="E75" s="45">
        <f t="shared" si="1"/>
        <v>-441591.10000000003</v>
      </c>
    </row>
    <row r="76" spans="1:5" ht="12.75">
      <c r="A76" s="16" t="s">
        <v>56</v>
      </c>
      <c r="B76" s="25">
        <v>846251.26</v>
      </c>
      <c r="C76" s="27">
        <v>416960.16</v>
      </c>
      <c r="D76" s="26">
        <f t="shared" si="0"/>
        <v>49.27143742155255</v>
      </c>
      <c r="E76" s="45">
        <f t="shared" si="1"/>
        <v>-429291.10000000003</v>
      </c>
    </row>
    <row r="77" spans="1:5" ht="25.5">
      <c r="A77" s="120" t="s">
        <v>180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2.75">
      <c r="A78" s="16" t="s">
        <v>57</v>
      </c>
      <c r="B78" s="25">
        <v>12300</v>
      </c>
      <c r="C78" s="27">
        <v>0</v>
      </c>
      <c r="D78" s="26">
        <f t="shared" si="0"/>
        <v>0</v>
      </c>
      <c r="E78" s="45">
        <f t="shared" si="1"/>
        <v>-12300</v>
      </c>
    </row>
    <row r="79" spans="1:5" ht="12.75">
      <c r="A79" s="174" t="s">
        <v>95</v>
      </c>
      <c r="B79" s="25">
        <v>0</v>
      </c>
      <c r="C79" s="27">
        <v>0</v>
      </c>
      <c r="D79" s="26" t="str">
        <f t="shared" si="0"/>
        <v>   </v>
      </c>
      <c r="E79" s="45">
        <f t="shared" si="1"/>
        <v>0</v>
      </c>
    </row>
    <row r="80" spans="1:5" ht="20.25" customHeight="1">
      <c r="A80" s="18" t="s">
        <v>17</v>
      </c>
      <c r="B80" s="31">
        <v>16000</v>
      </c>
      <c r="C80" s="31">
        <v>0</v>
      </c>
      <c r="D80" s="26">
        <f t="shared" si="0"/>
        <v>0</v>
      </c>
      <c r="E80" s="45">
        <f t="shared" si="1"/>
        <v>-16000</v>
      </c>
    </row>
    <row r="81" spans="1:5" ht="21.75" customHeight="1">
      <c r="A81" s="16" t="s">
        <v>41</v>
      </c>
      <c r="B81" s="24">
        <f>SUM(B82,)</f>
        <v>2561500</v>
      </c>
      <c r="C81" s="24">
        <f>SUM(C82,)</f>
        <v>1697200</v>
      </c>
      <c r="D81" s="26">
        <f t="shared" si="0"/>
        <v>66.25805192270154</v>
      </c>
      <c r="E81" s="45">
        <f t="shared" si="1"/>
        <v>-864300</v>
      </c>
    </row>
    <row r="82" spans="1:5" ht="14.25" customHeight="1">
      <c r="A82" s="16" t="s">
        <v>42</v>
      </c>
      <c r="B82" s="25">
        <v>2561500</v>
      </c>
      <c r="C82" s="27">
        <v>1697200</v>
      </c>
      <c r="D82" s="26">
        <f t="shared" si="0"/>
        <v>66.25805192270154</v>
      </c>
      <c r="E82" s="45">
        <f t="shared" si="1"/>
        <v>-864300</v>
      </c>
    </row>
    <row r="83" spans="1:5" ht="18.75" customHeight="1">
      <c r="A83" s="16" t="s">
        <v>125</v>
      </c>
      <c r="B83" s="25">
        <f>SUM(B84,)</f>
        <v>16000</v>
      </c>
      <c r="C83" s="25">
        <f>C84</f>
        <v>16000</v>
      </c>
      <c r="D83" s="26">
        <f t="shared" si="0"/>
        <v>100</v>
      </c>
      <c r="E83" s="45">
        <f t="shared" si="1"/>
        <v>0</v>
      </c>
    </row>
    <row r="84" spans="1:5" ht="12.75" customHeight="1">
      <c r="A84" s="16" t="s">
        <v>43</v>
      </c>
      <c r="B84" s="25">
        <v>16000</v>
      </c>
      <c r="C84" s="28">
        <v>16000</v>
      </c>
      <c r="D84" s="26">
        <f t="shared" si="0"/>
        <v>100</v>
      </c>
      <c r="E84" s="45">
        <f t="shared" si="1"/>
        <v>0</v>
      </c>
    </row>
    <row r="85" spans="1:5" ht="30.75" customHeight="1">
      <c r="A85" s="192" t="s">
        <v>15</v>
      </c>
      <c r="B85" s="167">
        <f>SUM(B46,B54,B56,B58,B68,B80,B81,B83,)</f>
        <v>6086782.25</v>
      </c>
      <c r="C85" s="167">
        <f>SUM(C46,C54,C56,C58,C68,C80,C81,C83,)</f>
        <v>4241093.24</v>
      </c>
      <c r="D85" s="157">
        <f>IF(B85=0,"   ",C85/B85*100)</f>
        <v>69.67709810877496</v>
      </c>
      <c r="E85" s="158">
        <f t="shared" si="1"/>
        <v>-1845689.0099999998</v>
      </c>
    </row>
    <row r="86" spans="1:5" s="69" customFormat="1" ht="23.25" customHeight="1">
      <c r="A86" s="92" t="s">
        <v>291</v>
      </c>
      <c r="B86" s="92"/>
      <c r="C86" s="247"/>
      <c r="D86" s="247"/>
      <c r="E86" s="247"/>
    </row>
    <row r="87" spans="1:5" s="69" customFormat="1" ht="12" customHeight="1">
      <c r="A87" s="92" t="s">
        <v>165</v>
      </c>
      <c r="B87" s="92"/>
      <c r="C87" s="93" t="s">
        <v>315</v>
      </c>
      <c r="D87" s="94"/>
      <c r="E87" s="95"/>
    </row>
    <row r="88" spans="1:5" ht="15" customHeight="1">
      <c r="A88" s="7"/>
      <c r="B88" s="7"/>
      <c r="C88" s="6"/>
      <c r="D88" s="7"/>
      <c r="E88" s="2"/>
    </row>
    <row r="89" spans="1:5" ht="12" customHeight="1">
      <c r="A89" s="58"/>
      <c r="B89" s="58"/>
      <c r="C89" s="59"/>
      <c r="D89" s="60"/>
      <c r="E89" s="6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6:E86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2018-11-06T11:59:57Z</cp:lastPrinted>
  <dcterms:created xsi:type="dcterms:W3CDTF">2001-03-21T05:21:19Z</dcterms:created>
  <dcterms:modified xsi:type="dcterms:W3CDTF">2018-11-06T12:27:25Z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