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'Лист1'!$A$1:$E$107</definedName>
  </definedNames>
  <calcPr fullCalcOnLoad="1"/>
</workbook>
</file>

<file path=xl/sharedStrings.xml><?xml version="1.0" encoding="utf-8"?>
<sst xmlns="http://schemas.openxmlformats.org/spreadsheetml/2006/main" count="1088" uniqueCount="313">
  <si>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</si>
  <si>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</si>
  <si>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</si>
  <si>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</si>
  <si>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</si>
  <si>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</si>
  <si>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</si>
  <si>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</si>
  <si>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</si>
  <si>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</si>
  <si>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</si>
  <si>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</si>
  <si>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</si>
  <si>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</si>
  <si>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</si>
  <si>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</si>
  <si>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</si>
  <si>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</si>
  <si>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</si>
  <si>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</si>
  <si>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</si>
  <si>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</si>
  <si>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</si>
  <si>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</si>
  <si>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</si>
  <si>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</si>
  <si>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</si>
  <si>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</si>
  <si>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</si>
  <si>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</si>
  <si>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</si>
  <si>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</si>
  <si>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</si>
  <si>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</si>
  <si>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</si>
  <si>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</si>
  <si>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</si>
  <si>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</si>
  <si>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</si>
  <si>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</si>
  <si>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</si>
  <si>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</si>
  <si>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</si>
  <si>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</si>
  <si>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</si>
  <si>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</si>
  <si>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</si>
  <si>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</si>
  <si>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</si>
  <si>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</si>
  <si>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</si>
  <si>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</si>
  <si>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</si>
  <si>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</si>
  <si>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</si>
  <si>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</si>
  <si>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</si>
  <si>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</si>
  <si>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</si>
  <si>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</si>
  <si>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</si>
  <si>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</si>
  <si>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</si>
  <si>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</si>
  <si>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</si>
  <si>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</si>
  <si>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</si>
  <si>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</si>
  <si>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</si>
  <si>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</si>
  <si>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</si>
  <si>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</si>
  <si>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</si>
  <si>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</si>
  <si>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</si>
  <si>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</si>
  <si>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</si>
  <si>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</si>
  <si>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</si>
  <si>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</si>
  <si>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</si>
  <si>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</si>
  <si>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</si>
  <si>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</si>
  <si>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</si>
  <si>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</si>
  <si>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</si>
  <si>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</si>
  <si>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</si>
  <si>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</si>
  <si>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</si>
  <si>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</si>
  <si>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</si>
  <si>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</si>
  <si>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</si>
  <si>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</si>
  <si>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</si>
  <si>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</si>
  <si>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</si>
  <si>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</si>
  <si>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</si>
  <si>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</si>
  <si>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</si>
  <si>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</si>
  <si>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</si>
  <si>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</si>
  <si>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</si>
  <si>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</si>
  <si>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</si>
  <si>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</si>
  <si>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</si>
  <si>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</si>
  <si>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</si>
  <si>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</si>
  <si>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</si>
  <si>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</si>
  <si>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</si>
  <si>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</si>
  <si>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</si>
  <si>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</si>
  <si>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</si>
  <si>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</si>
  <si>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</si>
  <si>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</si>
  <si>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</si>
  <si>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</si>
  <si>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</si>
  <si>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</si>
  <si>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</si>
  <si>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</si>
  <si>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</si>
  <si>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</si>
  <si>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</si>
  <si>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</si>
  <si>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</si>
  <si>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</si>
  <si>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</si>
  <si>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</si>
  <si>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</si>
  <si>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</si>
  <si>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</si>
  <si>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</si>
  <si>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СУБСИДИИ  БЮДЖЕТАМ  ПОСЕЛЕНИЙ  НА КАПИТАЛЬНЫЙ РЕМОНТ И РЕМОНТ ДВОРОВЫХ ТЕРРИТОРИЙ  МНОГОКВАРТИРНЫХ ДОМОВ, ПРОЕЗДОВ К ДВОРОВЫМ  ТЕРРИТОРИЯМ  МНОГОКВАРТИРНЫХ ДОМОВ</t>
  </si>
  <si>
    <t>из  них: выполнение других обязательств государства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</si>
  <si>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</si>
  <si>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</si>
  <si>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</si>
  <si>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</si>
  <si>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</si>
  <si>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</si>
  <si>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</si>
  <si>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</si>
  <si>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</si>
  <si>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</si>
  <si>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</si>
  <si>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</si>
  <si>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</si>
  <si>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</si>
  <si>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</si>
  <si>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</si>
  <si>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</si>
  <si>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</si>
  <si>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</si>
  <si>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</si>
  <si>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</si>
  <si>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</si>
  <si>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</si>
  <si>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</si>
  <si>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</si>
  <si>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</si>
  <si>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</si>
  <si>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</si>
  <si>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</si>
  <si>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</si>
  <si>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</si>
  <si>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</si>
  <si>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</si>
  <si>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</si>
  <si>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</si>
  <si>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</si>
  <si>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</si>
  <si>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</si>
  <si>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</si>
  <si>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 продажи  земельных участков , государственная собственность  на  которые не разграничена </t>
  </si>
  <si>
    <t>доходы от  продажи  земельных участков , государственная собственность  на  которые  разграничена ( за исключение земельных участков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</si>
  <si>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</si>
  <si>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</si>
  <si>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</si>
  <si>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</si>
  <si>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</si>
  <si>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</si>
  <si>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</si>
  <si>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</si>
  <si>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</si>
  <si>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</si>
  <si>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</si>
  <si>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районн. бюдж.)</t>
  </si>
  <si>
    <t>из  них:разработка схем террит. планиров., генер. планов посел., а также проектов планировки террит.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</si>
  <si>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</si>
  <si>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</si>
  <si>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>Транспорт</t>
  </si>
  <si>
    <t>в т. ч. на обеспеч. перевозок пассажиров автомоб. трансп. по соц- значимым маршрутам ( местн.)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</si>
  <si>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</si>
  <si>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</si>
  <si>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</si>
  <si>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</si>
  <si>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>СУБСИДИИ БЮДЖЕТАМ ПОСЕЛЕНИЙ НА РЕАЛИЗАЦИЮ ФЕДЕРАЛЬНЫХ ЦЕЛЕВЫХ ПРОГРАММ</t>
  </si>
  <si>
    <t>из  них: осущ. работ по актуализации госуд. кадастровой оценки земель в целях налогообложения и вовлечения земельных участков в гражд- правовой оборот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</si>
  <si>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</si>
  <si>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</si>
  <si>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</si>
  <si>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</si>
  <si>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</si>
  <si>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</si>
  <si>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</si>
  <si>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</si>
  <si>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</si>
  <si>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</si>
  <si>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</si>
  <si>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капитальный ремонт и ремонт автомобильных дорог общего пользования местного значения в границах посенления</t>
  </si>
  <si>
    <t>в том числе : средства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</si>
  <si>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</si>
  <si>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</si>
  <si>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</si>
  <si>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в т.ч. : за счет средств районного бюджета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</si>
  <si>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</si>
  <si>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</si>
  <si>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том числе субсидии на проектирование и строительство автомобильных дорог</t>
  </si>
  <si>
    <t>в том числе субсидии на повышение оплаты труда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</si>
  <si>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</si>
  <si>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</si>
  <si>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</si>
  <si>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</si>
  <si>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в  том числе : на расходы по  оплате за ПСД по стр-ву СДК на 100 мест</t>
  </si>
  <si>
    <t>из  них: проведение землеустроительных (кадастровых) работ  по земельным участкам, находящимся в  собственности  муниципального образования, и внесение сведений в кадастр недвижимости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</si>
  <si>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</si>
  <si>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</si>
  <si>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</si>
  <si>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</si>
  <si>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</si>
  <si>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</si>
  <si>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</si>
  <si>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>Софинансирование расходов на повышение заработной платы работников учреждений культуры (ср-ва посел.)</t>
  </si>
  <si>
    <t xml:space="preserve">                      ср-ва поселений (софинансир.)</t>
  </si>
  <si>
    <t>прочие выплаты по обязательствам  муниципального образования</t>
  </si>
  <si>
    <t>Уточненный план на 2018 год</t>
  </si>
  <si>
    <t>% исполне-ния к  годовому плану  на 2018 г.</t>
  </si>
  <si>
    <t>Отклонение от годового плана 2018 г ( +, - )</t>
  </si>
  <si>
    <t>% исполнения к  годовому плану  на 2018 г.</t>
  </si>
  <si>
    <t xml:space="preserve">Отклонение от годового плана 2018 г ( +, - )         </t>
  </si>
  <si>
    <t>% исполнения к  годовому плану  на 2018г.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</si>
  <si>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</si>
  <si>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</si>
  <si>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из них: создание условий для максимального вовлечения в хозяйственный оборот муниципального имущества, в том числе земельных участков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</si>
  <si>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</si>
  <si>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</si>
  <si>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</si>
  <si>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</si>
  <si>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</si>
  <si>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</si>
  <si>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</si>
  <si>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</si>
  <si>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</si>
  <si>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местн. бюдж.)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</si>
  <si>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</si>
  <si>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</si>
  <si>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</si>
  <si>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</si>
  <si>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</si>
  <si>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</si>
  <si>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</si>
  <si>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</si>
  <si>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</si>
  <si>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</si>
  <si>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</si>
  <si>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</si>
  <si>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</si>
  <si>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</si>
  <si>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</si>
  <si>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</si>
  <si>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</si>
  <si>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</si>
  <si>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</si>
  <si>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</si>
  <si>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</si>
  <si>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</si>
  <si>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</si>
  <si>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>доходы от  продажи  земельных участков , государственная  собственность на которые не разграничена и которые расположены в границах городских поселений</t>
  </si>
  <si>
    <t>Анализ  исполнения бюджета Андреево-Базарского сельского поселения за  август  2018 года</t>
  </si>
  <si>
    <t>Фактическое исполнение за   август     2018 года</t>
  </si>
  <si>
    <t>Анализ исполнения бюджета Аттиковского сельского поселения за  август    2018 года</t>
  </si>
  <si>
    <t>Фактическое исполнение за  август    2018 года</t>
  </si>
  <si>
    <t>Анализ исполнения бюджета  Байгуловского сельского поселения за  август     2018 года</t>
  </si>
  <si>
    <t>Фактическое исполнение за  август     2018 года</t>
  </si>
  <si>
    <t>Анализ исполнения бюджета  Еметкинского сельского поселения за   август    2018 года</t>
  </si>
  <si>
    <t>Фактическое исполнение за   август    2018 года</t>
  </si>
  <si>
    <t>Анализ исполнения бюджета  Карамышевского сельского поселения за  август      2018 года</t>
  </si>
  <si>
    <t>Анализ исполнения бюджета  Карачевского сельского поселения за  август     2018 года</t>
  </si>
  <si>
    <t>Фактическое исполнение за  август      2018 года</t>
  </si>
  <si>
    <t>Анализ исполнения бюджета  Козловского  городского  поселения  за  август      2018  года</t>
  </si>
  <si>
    <t>Анализ исполнения бюджета  Солдыбаевского сельского поселения за  август    2018 года</t>
  </si>
  <si>
    <t>Анализ исполнения бюджета  Тюрлеминского сельского поселения за  август     2018 года</t>
  </si>
  <si>
    <t>Анализ исполнения бюджета  Янгильдинского сельского поселения за  август    2018 года</t>
  </si>
  <si>
    <t>Анализ   исполнения   бюджетов   поселений   за   август    2018 года.</t>
  </si>
  <si>
    <t>Фактическое исполнение за   август   2018 года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</si>
  <si>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</si>
  <si>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</si>
  <si>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</si>
  <si>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</si>
  <si>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</si>
  <si>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</si>
  <si>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</si>
  <si>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Л.Ю.Зюляева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</si>
</sst>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1" fontId="0" fillId="0" borderId="0" xfId="59" applyFont="1" applyFill="1" applyAlignment="1">
      <alignment horizontal="right"/>
    </xf>
    <xf numFmtId="41" fontId="0" fillId="0" borderId="0" xfId="59" applyFont="1" applyFill="1" applyAlignment="1">
      <alignment horizontal="right" wrapText="1"/>
    </xf>
    <xf numFmtId="41" fontId="0" fillId="0" borderId="0" xfId="59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59" applyFont="1" applyFill="1" applyAlignment="1">
      <alignment/>
    </xf>
    <xf numFmtId="41" fontId="0" fillId="0" borderId="0" xfId="59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0" xfId="59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41" fontId="0" fillId="0" borderId="10" xfId="59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" fontId="0" fillId="0" borderId="12" xfId="59" applyNumberFormat="1" applyFont="1" applyFill="1" applyBorder="1" applyAlignment="1">
      <alignment horizontal="center" wrapText="1"/>
    </xf>
    <xf numFmtId="41" fontId="0" fillId="0" borderId="12" xfId="59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1" fontId="6" fillId="0" borderId="0" xfId="5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1" fontId="5" fillId="0" borderId="14" xfId="59" applyFont="1" applyFill="1" applyBorder="1" applyAlignment="1">
      <alignment horizontal="center" vertical="center" wrapText="1"/>
    </xf>
    <xf numFmtId="1" fontId="0" fillId="0" borderId="15" xfId="59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1" fontId="5" fillId="0" borderId="17" xfId="5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59" applyFont="1" applyFill="1" applyAlignment="1">
      <alignment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59" applyNumberFormat="1" applyFont="1" applyFill="1" applyBorder="1" applyAlignment="1">
      <alignment wrapText="1"/>
    </xf>
    <xf numFmtId="41" fontId="0" fillId="0" borderId="0" xfId="59" applyFill="1" applyAlignment="1">
      <alignment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2" xfId="59" applyNumberFormat="1" applyFill="1" applyBorder="1" applyAlignment="1">
      <alignment horizontal="center" wrapText="1"/>
    </xf>
    <xf numFmtId="41" fontId="0" fillId="0" borderId="10" xfId="59" applyFill="1" applyBorder="1" applyAlignment="1">
      <alignment wrapText="1"/>
    </xf>
    <xf numFmtId="41" fontId="0" fillId="0" borderId="12" xfId="59" applyFill="1" applyBorder="1" applyAlignment="1">
      <alignment horizontal="right" wrapText="1"/>
    </xf>
    <xf numFmtId="41" fontId="0" fillId="0" borderId="0" xfId="59" applyFill="1" applyAlignment="1">
      <alignment wrapText="1"/>
    </xf>
    <xf numFmtId="41" fontId="0" fillId="0" borderId="0" xfId="59" applyFill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2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0" xfId="59" applyFont="1" applyFill="1" applyBorder="1" applyAlignment="1">
      <alignment wrapText="1"/>
    </xf>
    <xf numFmtId="41" fontId="0" fillId="0" borderId="12" xfId="5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41" fontId="4" fillId="0" borderId="10" xfId="59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165" fontId="4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1" fillId="0" borderId="10" xfId="59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0" borderId="25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7" fillId="0" borderId="18" xfId="0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right" wrapText="1"/>
    </xf>
    <xf numFmtId="2" fontId="2" fillId="0" borderId="19" xfId="59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2" fontId="0" fillId="0" borderId="19" xfId="0" applyNumberForma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2" fontId="4" fillId="0" borderId="12" xfId="59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3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59" applyFont="1" applyFill="1" applyAlignment="1">
      <alignment wrapText="1"/>
    </xf>
    <xf numFmtId="41" fontId="0" fillId="0" borderId="0" xfId="59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5" xfId="59" applyNumberFormat="1" applyFont="1" applyFill="1" applyBorder="1" applyAlignment="1">
      <alignment horizontal="right" wrapText="1"/>
    </xf>
    <xf numFmtId="2" fontId="0" fillId="0" borderId="25" xfId="0" applyNumberFormat="1" applyFill="1" applyBorder="1" applyAlignment="1">
      <alignment horizontal="right" wrapText="1"/>
    </xf>
    <xf numFmtId="2" fontId="0" fillId="0" borderId="30" xfId="0" applyNumberFormat="1" applyFill="1" applyBorder="1" applyAlignment="1">
      <alignment wrapText="1"/>
    </xf>
    <xf numFmtId="4" fontId="14" fillId="33" borderId="10" xfId="0" applyNumberFormat="1" applyFont="1" applyFill="1" applyBorder="1" applyAlignment="1">
      <alignment wrapText="1"/>
    </xf>
    <xf numFmtId="4" fontId="14" fillId="0" borderId="10" xfId="59" applyNumberFormat="1" applyFont="1" applyFill="1" applyBorder="1" applyAlignment="1">
      <alignment horizontal="right" wrapText="1"/>
    </xf>
    <xf numFmtId="164" fontId="14" fillId="0" borderId="10" xfId="55" applyNumberFormat="1" applyFont="1" applyFill="1" applyBorder="1" applyAlignment="1">
      <alignment wrapText="1"/>
    </xf>
    <xf numFmtId="4" fontId="14" fillId="0" borderId="12" xfId="0" applyNumberFormat="1" applyFont="1" applyFill="1" applyBorder="1" applyAlignment="1">
      <alignment wrapText="1"/>
    </xf>
    <xf numFmtId="2" fontId="14" fillId="33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2" fontId="4" fillId="0" borderId="10" xfId="59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59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2" fontId="14" fillId="0" borderId="10" xfId="55" applyNumberFormat="1" applyFont="1" applyFill="1" applyBorder="1" applyAlignment="1">
      <alignment wrapText="1"/>
    </xf>
    <xf numFmtId="2" fontId="14" fillId="0" borderId="12" xfId="59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55" applyNumberFormat="1" applyFont="1" applyFill="1" applyBorder="1" applyAlignment="1">
      <alignment wrapText="1"/>
    </xf>
    <xf numFmtId="2" fontId="15" fillId="0" borderId="12" xfId="59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2" fontId="16" fillId="0" borderId="10" xfId="55" applyNumberFormat="1" applyFont="1" applyFill="1" applyBorder="1" applyAlignment="1">
      <alignment wrapText="1"/>
    </xf>
    <xf numFmtId="2" fontId="16" fillId="0" borderId="12" xfId="59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59" applyNumberFormat="1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59" applyFont="1" applyFill="1" applyAlignment="1">
      <alignment horizontal="center"/>
    </xf>
    <xf numFmtId="41" fontId="6" fillId="0" borderId="0" xfId="59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59" applyNumberFormat="1" applyFont="1" applyFill="1" applyAlignment="1">
      <alignment horizontal="center" wrapText="1"/>
    </xf>
    <xf numFmtId="2" fontId="0" fillId="0" borderId="30" xfId="0" applyNumberFormat="1" applyFont="1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view="pageBreakPreview" zoomScaleNormal="75" zoomScaleSheetLayoutView="100" zoomScalePageLayoutView="0" workbookViewId="0" topLeftCell="A27">
      <selection activeCell="A68" sqref="A68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45" t="s">
        <v>288</v>
      </c>
      <c r="B1" s="245"/>
      <c r="C1" s="245"/>
      <c r="D1" s="245"/>
      <c r="E1" s="245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6.75" customHeight="1">
      <c r="A3" s="34" t="s">
        <v>1</v>
      </c>
      <c r="B3" s="19" t="s">
        <v>245</v>
      </c>
      <c r="C3" s="32" t="s">
        <v>289</v>
      </c>
      <c r="D3" s="19" t="s">
        <v>246</v>
      </c>
      <c r="E3" s="36" t="s">
        <v>247</v>
      </c>
    </row>
    <row r="4" spans="1:5" s="66" customFormat="1" ht="10.5" customHeight="1">
      <c r="A4" s="62">
        <v>1</v>
      </c>
      <c r="B4" s="86">
        <v>2</v>
      </c>
      <c r="C4" s="63">
        <v>3</v>
      </c>
      <c r="D4" s="64">
        <v>4</v>
      </c>
      <c r="E4" s="65">
        <v>5</v>
      </c>
    </row>
    <row r="5" spans="1:5" s="69" customFormat="1" ht="12.75">
      <c r="A5" s="22" t="s">
        <v>2</v>
      </c>
      <c r="B5" s="11"/>
      <c r="C5" s="67"/>
      <c r="D5" s="31"/>
      <c r="E5" s="68"/>
    </row>
    <row r="6" spans="1:5" s="9" customFormat="1" ht="12.75" customHeight="1" hidden="1">
      <c r="A6" s="70" t="s">
        <v>25</v>
      </c>
      <c r="B6" s="71"/>
      <c r="C6" s="71" t="e">
        <f>SUM(C7,C11,C16,C19,#REF!,#REF!,C10,)</f>
        <v>#REF!</v>
      </c>
      <c r="D6" s="72" t="e">
        <f>IF(#REF!=0,"   ",C6/#REF!)</f>
        <v>#REF!</v>
      </c>
      <c r="E6" s="73" t="e">
        <f>C6-#REF!</f>
        <v>#REF!</v>
      </c>
    </row>
    <row r="7" spans="1:5" s="78" customFormat="1" ht="12.75">
      <c r="A7" s="74" t="s">
        <v>45</v>
      </c>
      <c r="B7" s="75">
        <f>SUM(B9)</f>
        <v>161600</v>
      </c>
      <c r="C7" s="75">
        <f>C9</f>
        <v>90346.97</v>
      </c>
      <c r="D7" s="76">
        <f>IF(B7=0,"   ",C7/B7*100)</f>
        <v>55.90777846534654</v>
      </c>
      <c r="E7" s="77">
        <f>C7-B7</f>
        <v>-71253.03</v>
      </c>
    </row>
    <row r="8" spans="1:5" s="69" customFormat="1" ht="12.75" customHeight="1" hidden="1">
      <c r="A8" s="43" t="s">
        <v>3</v>
      </c>
      <c r="B8" s="31">
        <v>387940</v>
      </c>
      <c r="C8" s="79">
        <v>217766</v>
      </c>
      <c r="D8" s="76" t="e">
        <f>IF(#REF!=0,"   ",C8/#REF!)</f>
        <v>#REF!</v>
      </c>
      <c r="E8" s="77" t="e">
        <f>C8-#REF!</f>
        <v>#REF!</v>
      </c>
    </row>
    <row r="9" spans="1:5" s="69" customFormat="1" ht="12.75">
      <c r="A9" s="43" t="s">
        <v>113</v>
      </c>
      <c r="B9" s="31">
        <v>161600</v>
      </c>
      <c r="C9" s="79">
        <v>90346.97</v>
      </c>
      <c r="D9" s="76">
        <f>IF(B9=0,"   ",C9/B9*100)</f>
        <v>55.90777846534654</v>
      </c>
      <c r="E9" s="77">
        <f>C9-B9</f>
        <v>-71253.03</v>
      </c>
    </row>
    <row r="10" spans="1:5" s="69" customFormat="1" ht="12.75" customHeight="1" hidden="1">
      <c r="A10" s="43" t="s">
        <v>24</v>
      </c>
      <c r="B10" s="31"/>
      <c r="C10" s="79">
        <v>175</v>
      </c>
      <c r="D10" s="76"/>
      <c r="E10" s="77"/>
    </row>
    <row r="11" spans="1:5" s="78" customFormat="1" ht="12.75" customHeight="1" hidden="1">
      <c r="A11" s="43" t="s">
        <v>4</v>
      </c>
      <c r="B11" s="31">
        <f>SUM(B12:B13)</f>
        <v>1848003</v>
      </c>
      <c r="C11" s="31">
        <f>SUM(C12:C13)</f>
        <v>1704024</v>
      </c>
      <c r="D11" s="76" t="e">
        <f>IF(#REF!=0,"   ",C11/#REF!)</f>
        <v>#REF!</v>
      </c>
      <c r="E11" s="77" t="e">
        <f>C11-#REF!</f>
        <v>#REF!</v>
      </c>
    </row>
    <row r="12" spans="1:5" s="69" customFormat="1" ht="12.75" customHeight="1" hidden="1">
      <c r="A12" s="43" t="s">
        <v>5</v>
      </c>
      <c r="B12" s="31">
        <v>17853</v>
      </c>
      <c r="C12" s="79">
        <v>13730</v>
      </c>
      <c r="D12" s="76" t="e">
        <f>IF(#REF!=0,"   ",C12/#REF!)</f>
        <v>#REF!</v>
      </c>
      <c r="E12" s="77" t="e">
        <f>C12-#REF!</f>
        <v>#REF!</v>
      </c>
    </row>
    <row r="13" spans="1:5" s="69" customFormat="1" ht="12.75" customHeight="1" hidden="1">
      <c r="A13" s="43" t="s">
        <v>6</v>
      </c>
      <c r="B13" s="31">
        <v>1830150</v>
      </c>
      <c r="C13" s="79">
        <v>1690294</v>
      </c>
      <c r="D13" s="76" t="e">
        <f>IF(#REF!=0,"   ",C13/#REF!)</f>
        <v>#REF!</v>
      </c>
      <c r="E13" s="77" t="e">
        <f>C13-#REF!</f>
        <v>#REF!</v>
      </c>
    </row>
    <row r="14" spans="1:5" s="69" customFormat="1" ht="12.75" customHeight="1">
      <c r="A14" s="74" t="s">
        <v>144</v>
      </c>
      <c r="B14" s="75">
        <f>SUM(B15)</f>
        <v>510200</v>
      </c>
      <c r="C14" s="75">
        <f>SUM(C15)</f>
        <v>344952.56</v>
      </c>
      <c r="D14" s="76">
        <f>IF(B14=0,"   ",C14/B14*100)</f>
        <v>67.61124264994119</v>
      </c>
      <c r="E14" s="77">
        <f>C14-B14</f>
        <v>-165247.44</v>
      </c>
    </row>
    <row r="15" spans="1:5" s="69" customFormat="1" ht="15.75" customHeight="1">
      <c r="A15" s="43" t="s">
        <v>145</v>
      </c>
      <c r="B15" s="31">
        <v>510200</v>
      </c>
      <c r="C15" s="79">
        <v>344952.56</v>
      </c>
      <c r="D15" s="76">
        <f>IF(B15=0,"   ",C15/B15*100)</f>
        <v>67.61124264994119</v>
      </c>
      <c r="E15" s="77">
        <f>C15-B15</f>
        <v>-165247.44</v>
      </c>
    </row>
    <row r="16" spans="1:5" s="78" customFormat="1" ht="17.25" customHeight="1">
      <c r="A16" s="43" t="s">
        <v>7</v>
      </c>
      <c r="B16" s="75">
        <f>SUM(B18)</f>
        <v>82900</v>
      </c>
      <c r="C16" s="31">
        <f>SUM(C18:C18)</f>
        <v>17804.71</v>
      </c>
      <c r="D16" s="76">
        <f>IF(B16=0,"   ",C16/B16*100)</f>
        <v>21.47733413751508</v>
      </c>
      <c r="E16" s="77">
        <f>C16-B16</f>
        <v>-65095.29</v>
      </c>
    </row>
    <row r="17" spans="1:5" s="69" customFormat="1" ht="12.75" customHeight="1" hidden="1">
      <c r="A17" s="43" t="s">
        <v>8</v>
      </c>
      <c r="B17" s="31">
        <v>103725</v>
      </c>
      <c r="C17" s="79">
        <v>92515</v>
      </c>
      <c r="D17" s="76" t="e">
        <f>IF(#REF!=0,"   ",C17/#REF!)</f>
        <v>#REF!</v>
      </c>
      <c r="E17" s="77" t="e">
        <f>C17-#REF!</f>
        <v>#REF!</v>
      </c>
    </row>
    <row r="18" spans="1:5" s="69" customFormat="1" ht="17.25" customHeight="1">
      <c r="A18" s="43" t="s">
        <v>114</v>
      </c>
      <c r="B18" s="31">
        <v>82900</v>
      </c>
      <c r="C18" s="79">
        <v>17804.71</v>
      </c>
      <c r="D18" s="76">
        <f aca="true" t="shared" si="0" ref="D18:D33">IF(B18=0,"   ",C18/B18*100)</f>
        <v>21.47733413751508</v>
      </c>
      <c r="E18" s="77">
        <f aca="true" t="shared" si="1" ref="E18:E33">C18-B18</f>
        <v>-65095.29</v>
      </c>
    </row>
    <row r="19" spans="1:5" s="69" customFormat="1" ht="18" customHeight="1">
      <c r="A19" s="43" t="s">
        <v>9</v>
      </c>
      <c r="B19" s="31">
        <f>SUM(B20:B21)</f>
        <v>960000</v>
      </c>
      <c r="C19" s="31">
        <f>SUM(C20:C21)</f>
        <v>333920.29</v>
      </c>
      <c r="D19" s="76">
        <f t="shared" si="0"/>
        <v>34.78336354166666</v>
      </c>
      <c r="E19" s="77">
        <f t="shared" si="1"/>
        <v>-626079.71</v>
      </c>
    </row>
    <row r="20" spans="1:5" s="69" customFormat="1" ht="12.75">
      <c r="A20" s="43" t="s">
        <v>115</v>
      </c>
      <c r="B20" s="31">
        <v>113000</v>
      </c>
      <c r="C20" s="79">
        <v>25282.54</v>
      </c>
      <c r="D20" s="76">
        <f t="shared" si="0"/>
        <v>22.373929203539824</v>
      </c>
      <c r="E20" s="77">
        <f t="shared" si="1"/>
        <v>-87717.45999999999</v>
      </c>
    </row>
    <row r="21" spans="1:5" s="69" customFormat="1" ht="16.5" customHeight="1">
      <c r="A21" s="43" t="s">
        <v>173</v>
      </c>
      <c r="B21" s="31">
        <f>SUM(B22:B23)</f>
        <v>847000</v>
      </c>
      <c r="C21" s="31">
        <f>SUM(C22:C23)</f>
        <v>308637.75</v>
      </c>
      <c r="D21" s="76">
        <f t="shared" si="0"/>
        <v>36.43893152302243</v>
      </c>
      <c r="E21" s="77">
        <f t="shared" si="1"/>
        <v>-538362.25</v>
      </c>
    </row>
    <row r="22" spans="1:5" s="69" customFormat="1" ht="12.75">
      <c r="A22" s="43" t="s">
        <v>174</v>
      </c>
      <c r="B22" s="31">
        <v>276100</v>
      </c>
      <c r="C22" s="79">
        <v>242804.11</v>
      </c>
      <c r="D22" s="76">
        <f t="shared" si="0"/>
        <v>87.94064107207534</v>
      </c>
      <c r="E22" s="77">
        <f t="shared" si="1"/>
        <v>-33295.890000000014</v>
      </c>
    </row>
    <row r="23" spans="1:5" s="69" customFormat="1" ht="12.75">
      <c r="A23" s="43" t="s">
        <v>175</v>
      </c>
      <c r="B23" s="31">
        <v>570900</v>
      </c>
      <c r="C23" s="79">
        <v>65833.64</v>
      </c>
      <c r="D23" s="76">
        <f t="shared" si="0"/>
        <v>11.531553687160622</v>
      </c>
      <c r="E23" s="77">
        <f t="shared" si="1"/>
        <v>-505066.36</v>
      </c>
    </row>
    <row r="24" spans="1:5" s="69" customFormat="1" ht="19.5" customHeight="1">
      <c r="A24" s="43" t="s">
        <v>88</v>
      </c>
      <c r="B24" s="31">
        <v>0</v>
      </c>
      <c r="C24" s="31">
        <v>0</v>
      </c>
      <c r="D24" s="76" t="str">
        <f t="shared" si="0"/>
        <v>   </v>
      </c>
      <c r="E24" s="77">
        <f t="shared" si="1"/>
        <v>0</v>
      </c>
    </row>
    <row r="25" spans="1:5" s="69" customFormat="1" ht="24.75" customHeight="1">
      <c r="A25" s="43" t="s">
        <v>28</v>
      </c>
      <c r="B25" s="31">
        <f>SUM(B26:B27)</f>
        <v>281000</v>
      </c>
      <c r="C25" s="75">
        <f>SUM(C26:C27)</f>
        <v>129567.48</v>
      </c>
      <c r="D25" s="76">
        <f t="shared" si="0"/>
        <v>46.10942348754448</v>
      </c>
      <c r="E25" s="77">
        <f t="shared" si="1"/>
        <v>-151432.52000000002</v>
      </c>
    </row>
    <row r="26" spans="1:5" s="69" customFormat="1" ht="12.75">
      <c r="A26" s="43" t="s">
        <v>163</v>
      </c>
      <c r="B26" s="31">
        <v>281000</v>
      </c>
      <c r="C26" s="79">
        <v>129567.48</v>
      </c>
      <c r="D26" s="76">
        <f t="shared" si="0"/>
        <v>46.10942348754448</v>
      </c>
      <c r="E26" s="77">
        <f t="shared" si="1"/>
        <v>-151432.52000000002</v>
      </c>
    </row>
    <row r="27" spans="1:5" s="69" customFormat="1" ht="15.75" customHeight="1">
      <c r="A27" s="43" t="s">
        <v>30</v>
      </c>
      <c r="B27" s="31">
        <v>0</v>
      </c>
      <c r="C27" s="79">
        <v>0</v>
      </c>
      <c r="D27" s="76" t="str">
        <f t="shared" si="0"/>
        <v>   </v>
      </c>
      <c r="E27" s="77">
        <f t="shared" si="1"/>
        <v>0</v>
      </c>
    </row>
    <row r="28" spans="1:5" s="69" customFormat="1" ht="18.75" customHeight="1">
      <c r="A28" s="43" t="s">
        <v>92</v>
      </c>
      <c r="B28" s="75">
        <v>0</v>
      </c>
      <c r="C28" s="79">
        <v>0</v>
      </c>
      <c r="D28" s="76" t="str">
        <f t="shared" si="0"/>
        <v>   </v>
      </c>
      <c r="E28" s="77">
        <f t="shared" si="1"/>
        <v>0</v>
      </c>
    </row>
    <row r="29" spans="1:5" s="69" customFormat="1" ht="16.5" customHeight="1">
      <c r="A29" s="43" t="s">
        <v>78</v>
      </c>
      <c r="B29" s="75">
        <f>B30+B31</f>
        <v>503325.92</v>
      </c>
      <c r="C29" s="75">
        <f>C30+C31</f>
        <v>619754.44</v>
      </c>
      <c r="D29" s="76">
        <f t="shared" si="0"/>
        <v>123.13183473642684</v>
      </c>
      <c r="E29" s="77">
        <f t="shared" si="1"/>
        <v>116428.51999999996</v>
      </c>
    </row>
    <row r="30" spans="1:5" s="69" customFormat="1" ht="16.5" customHeight="1">
      <c r="A30" s="43" t="s">
        <v>139</v>
      </c>
      <c r="B30" s="75">
        <v>503325.92</v>
      </c>
      <c r="C30" s="75">
        <v>519264.19</v>
      </c>
      <c r="D30" s="76">
        <f t="shared" si="0"/>
        <v>103.16659034766182</v>
      </c>
      <c r="E30" s="77">
        <f t="shared" si="1"/>
        <v>15938.270000000019</v>
      </c>
    </row>
    <row r="31" spans="1:5" s="69" customFormat="1" ht="27.75" customHeight="1">
      <c r="A31" s="43" t="s">
        <v>266</v>
      </c>
      <c r="B31" s="31">
        <v>0</v>
      </c>
      <c r="C31" s="203">
        <v>100490.25</v>
      </c>
      <c r="D31" s="76" t="str">
        <f t="shared" si="0"/>
        <v>   </v>
      </c>
      <c r="E31" s="77">
        <f t="shared" si="1"/>
        <v>100490.25</v>
      </c>
    </row>
    <row r="32" spans="1:5" s="69" customFormat="1" ht="15.75" customHeight="1">
      <c r="A32" s="16" t="s">
        <v>31</v>
      </c>
      <c r="B32" s="31">
        <v>0</v>
      </c>
      <c r="C32" s="203">
        <v>0</v>
      </c>
      <c r="D32" s="76" t="str">
        <f t="shared" si="0"/>
        <v>   </v>
      </c>
      <c r="E32" s="77">
        <f t="shared" si="1"/>
        <v>0</v>
      </c>
    </row>
    <row r="33" spans="1:5" s="69" customFormat="1" ht="15" customHeight="1">
      <c r="A33" s="43" t="s">
        <v>32</v>
      </c>
      <c r="B33" s="31">
        <f>B36+B37</f>
        <v>0</v>
      </c>
      <c r="C33" s="31">
        <f>SUM(C36:C37)</f>
        <v>0</v>
      </c>
      <c r="D33" s="76" t="str">
        <f t="shared" si="0"/>
        <v>   </v>
      </c>
      <c r="E33" s="77">
        <f t="shared" si="1"/>
        <v>0</v>
      </c>
    </row>
    <row r="34" spans="1:5" s="69" customFormat="1" ht="12.75" customHeight="1" hidden="1">
      <c r="A34" s="80" t="s">
        <v>33</v>
      </c>
      <c r="B34" s="31"/>
      <c r="C34" s="81"/>
      <c r="D34" s="76" t="e">
        <f>IF(#REF!=0,"   ",C34/#REF!)</f>
        <v>#REF!</v>
      </c>
      <c r="E34" s="77" t="e">
        <f>C34-#REF!</f>
        <v>#REF!</v>
      </c>
    </row>
    <row r="35" spans="1:5" s="9" customFormat="1" ht="12.75" customHeight="1" hidden="1">
      <c r="A35" s="80" t="s">
        <v>16</v>
      </c>
      <c r="B35" s="44" t="e">
        <f>SUM(B42,#REF!,#REF!,#REF!)</f>
        <v>#REF!</v>
      </c>
      <c r="C35" s="46" t="e">
        <f>SUM(C42,#REF!,#REF!,#REF!)</f>
        <v>#REF!</v>
      </c>
      <c r="D35" s="76" t="e">
        <f>IF(#REF!=0,"   ",C35/#REF!)</f>
        <v>#REF!</v>
      </c>
      <c r="E35" s="77" t="e">
        <f>C35-#REF!</f>
        <v>#REF!</v>
      </c>
    </row>
    <row r="36" spans="1:5" s="9" customFormat="1" ht="12.75">
      <c r="A36" s="43" t="s">
        <v>138</v>
      </c>
      <c r="B36" s="96">
        <v>0</v>
      </c>
      <c r="C36" s="166">
        <v>0</v>
      </c>
      <c r="D36" s="76" t="str">
        <f>IF(B36=0,"   ",C36/B36*100)</f>
        <v>   </v>
      </c>
      <c r="E36" s="77">
        <f>C36-B36</f>
        <v>0</v>
      </c>
    </row>
    <row r="37" spans="1:5" s="9" customFormat="1" ht="15" customHeight="1">
      <c r="A37" s="43" t="s">
        <v>109</v>
      </c>
      <c r="B37" s="31">
        <v>0</v>
      </c>
      <c r="C37" s="75">
        <v>0</v>
      </c>
      <c r="D37" s="76" t="str">
        <f>IF(B37=0,"   ",C37/B37*100)</f>
        <v>   </v>
      </c>
      <c r="E37" s="77">
        <f>C37-B37</f>
        <v>0</v>
      </c>
    </row>
    <row r="38" spans="1:5" s="9" customFormat="1" ht="12.75" customHeight="1" hidden="1">
      <c r="A38" s="43" t="s">
        <v>46</v>
      </c>
      <c r="B38" s="44"/>
      <c r="C38" s="75">
        <v>0</v>
      </c>
      <c r="D38" s="76" t="e">
        <f>IF(#REF!=0,"   ",C38/#REF!)</f>
        <v>#REF!</v>
      </c>
      <c r="E38" s="77" t="e">
        <f>C38-#REF!</f>
        <v>#REF!</v>
      </c>
    </row>
    <row r="39" spans="1:5" s="9" customFormat="1" ht="0.75" customHeight="1" hidden="1">
      <c r="A39" s="101" t="s">
        <v>47</v>
      </c>
      <c r="B39" s="102">
        <v>1250</v>
      </c>
      <c r="C39" s="103"/>
      <c r="D39" s="104" t="e">
        <f>IF(#REF!=0,"   ",C39/#REF!)</f>
        <v>#REF!</v>
      </c>
      <c r="E39" s="105" t="e">
        <f>C39-#REF!</f>
        <v>#REF!</v>
      </c>
    </row>
    <row r="40" spans="1:5" s="9" customFormat="1" ht="22.5" customHeight="1">
      <c r="A40" s="216" t="s">
        <v>10</v>
      </c>
      <c r="B40" s="168">
        <f>B7+B16+B19+B24+B25+B28+B29+B33+B14+B32</f>
        <v>2499025.92</v>
      </c>
      <c r="C40" s="168">
        <f>C7+C16+C19+C24+C25+C28+C29+C33+C14+C32</f>
        <v>1536346.45</v>
      </c>
      <c r="D40" s="158">
        <f aca="true" t="shared" si="2" ref="D40:D52">IF(B40=0,"   ",C40/B40*100)</f>
        <v>61.47781172273715</v>
      </c>
      <c r="E40" s="217">
        <f aca="true" t="shared" si="3" ref="E40:E52">C40-B40</f>
        <v>-962679.47</v>
      </c>
    </row>
    <row r="41" spans="1:5" s="9" customFormat="1" ht="18.75" customHeight="1">
      <c r="A41" s="201" t="s">
        <v>147</v>
      </c>
      <c r="B41" s="202">
        <f>SUM(B42:B44,B47:B49,B52)</f>
        <v>1315900</v>
      </c>
      <c r="C41" s="202">
        <f>SUM(C42:C44,C47:C49,C52)</f>
        <v>840233</v>
      </c>
      <c r="D41" s="76">
        <f t="shared" si="2"/>
        <v>63.85234440307014</v>
      </c>
      <c r="E41" s="79">
        <f t="shared" si="3"/>
        <v>-475667</v>
      </c>
    </row>
    <row r="42" spans="1:5" s="69" customFormat="1" ht="19.5" customHeight="1">
      <c r="A42" s="106" t="s">
        <v>34</v>
      </c>
      <c r="B42" s="107">
        <v>410000</v>
      </c>
      <c r="C42" s="204">
        <v>272800</v>
      </c>
      <c r="D42" s="90">
        <f t="shared" si="2"/>
        <v>66.53658536585367</v>
      </c>
      <c r="E42" s="91">
        <f t="shared" si="3"/>
        <v>-137200</v>
      </c>
    </row>
    <row r="43" spans="1:5" s="69" customFormat="1" ht="30" customHeight="1">
      <c r="A43" s="124" t="s">
        <v>51</v>
      </c>
      <c r="B43" s="125">
        <v>71300</v>
      </c>
      <c r="C43" s="125">
        <v>54600</v>
      </c>
      <c r="D43" s="126">
        <f t="shared" si="2"/>
        <v>76.57784011220197</v>
      </c>
      <c r="E43" s="127">
        <f t="shared" si="3"/>
        <v>-16700</v>
      </c>
    </row>
    <row r="44" spans="1:5" s="69" customFormat="1" ht="30" customHeight="1">
      <c r="A44" s="124" t="s">
        <v>157</v>
      </c>
      <c r="B44" s="125">
        <f>SUM(B45:B46)</f>
        <v>4100</v>
      </c>
      <c r="C44" s="125">
        <f>SUM(C45:C46)</f>
        <v>100</v>
      </c>
      <c r="D44" s="126">
        <f t="shared" si="2"/>
        <v>2.4390243902439024</v>
      </c>
      <c r="E44" s="127">
        <f t="shared" si="3"/>
        <v>-4000</v>
      </c>
    </row>
    <row r="45" spans="1:5" s="69" customFormat="1" ht="18" customHeight="1">
      <c r="A45" s="124" t="s">
        <v>176</v>
      </c>
      <c r="B45" s="125">
        <v>100</v>
      </c>
      <c r="C45" s="125">
        <v>100</v>
      </c>
      <c r="D45" s="126">
        <f t="shared" si="2"/>
        <v>100</v>
      </c>
      <c r="E45" s="127">
        <f t="shared" si="3"/>
        <v>0</v>
      </c>
    </row>
    <row r="46" spans="1:5" s="69" customFormat="1" ht="30" customHeight="1">
      <c r="A46" s="124" t="s">
        <v>177</v>
      </c>
      <c r="B46" s="125">
        <v>4000</v>
      </c>
      <c r="C46" s="125">
        <v>0</v>
      </c>
      <c r="D46" s="126">
        <f t="shared" si="2"/>
        <v>0</v>
      </c>
      <c r="E46" s="127">
        <f t="shared" si="3"/>
        <v>-4000</v>
      </c>
    </row>
    <row r="47" spans="1:5" s="69" customFormat="1" ht="40.5" customHeight="1">
      <c r="A47" s="16" t="s">
        <v>104</v>
      </c>
      <c r="B47" s="125">
        <v>90000</v>
      </c>
      <c r="C47" s="125">
        <v>0</v>
      </c>
      <c r="D47" s="126">
        <f t="shared" si="2"/>
        <v>0</v>
      </c>
      <c r="E47" s="127">
        <f t="shared" si="3"/>
        <v>-90000</v>
      </c>
    </row>
    <row r="48" spans="1:5" s="69" customFormat="1" ht="18.75" customHeight="1">
      <c r="A48" s="16" t="s">
        <v>186</v>
      </c>
      <c r="B48" s="125">
        <v>0</v>
      </c>
      <c r="C48" s="125">
        <v>0</v>
      </c>
      <c r="D48" s="126" t="str">
        <f t="shared" si="2"/>
        <v>   </v>
      </c>
      <c r="E48" s="127">
        <f t="shared" si="3"/>
        <v>0</v>
      </c>
    </row>
    <row r="49" spans="1:5" s="69" customFormat="1" ht="18" customHeight="1">
      <c r="A49" s="43" t="s">
        <v>54</v>
      </c>
      <c r="B49" s="31">
        <f>B51+B50</f>
        <v>650500</v>
      </c>
      <c r="C49" s="31">
        <f>C51+C50</f>
        <v>422733</v>
      </c>
      <c r="D49" s="76">
        <f t="shared" si="2"/>
        <v>64.9858570330515</v>
      </c>
      <c r="E49" s="77">
        <f t="shared" si="3"/>
        <v>-227767</v>
      </c>
    </row>
    <row r="50" spans="1:5" s="69" customFormat="1" ht="18" customHeight="1">
      <c r="A50" s="56" t="s">
        <v>226</v>
      </c>
      <c r="B50" s="31">
        <v>270000</v>
      </c>
      <c r="C50" s="31">
        <v>270000</v>
      </c>
      <c r="D50" s="76">
        <f t="shared" si="2"/>
        <v>100</v>
      </c>
      <c r="E50" s="77">
        <f t="shared" si="3"/>
        <v>0</v>
      </c>
    </row>
    <row r="51" spans="1:5" s="69" customFormat="1" ht="20.25" customHeight="1">
      <c r="A51" s="56" t="s">
        <v>110</v>
      </c>
      <c r="B51" s="31">
        <v>380500</v>
      </c>
      <c r="C51" s="31">
        <v>152733</v>
      </c>
      <c r="D51" s="76">
        <f t="shared" si="2"/>
        <v>40.14007884362681</v>
      </c>
      <c r="E51" s="77">
        <f t="shared" si="3"/>
        <v>-227767</v>
      </c>
    </row>
    <row r="52" spans="1:5" s="69" customFormat="1" ht="29.25" customHeight="1">
      <c r="A52" s="16" t="s">
        <v>257</v>
      </c>
      <c r="B52" s="31">
        <v>90000</v>
      </c>
      <c r="C52" s="31">
        <v>90000</v>
      </c>
      <c r="D52" s="76">
        <f t="shared" si="2"/>
        <v>100</v>
      </c>
      <c r="E52" s="77">
        <f t="shared" si="3"/>
        <v>0</v>
      </c>
    </row>
    <row r="53" spans="1:5" s="69" customFormat="1" ht="27" customHeight="1">
      <c r="A53" s="30" t="s">
        <v>11</v>
      </c>
      <c r="B53" s="168">
        <f>B40+B41</f>
        <v>3814925.92</v>
      </c>
      <c r="C53" s="168">
        <f>C40+C41</f>
        <v>2376579.45</v>
      </c>
      <c r="D53" s="158">
        <f aca="true" t="shared" si="4" ref="D53:D79">IF(B53=0,"   ",C53/B53*100)</f>
        <v>62.29687023647369</v>
      </c>
      <c r="E53" s="159">
        <f aca="true" t="shared" si="5" ref="E53:E79">C53-B53</f>
        <v>-1438346.4699999997</v>
      </c>
    </row>
    <row r="54" spans="1:5" s="8" customFormat="1" ht="13.5" thickBot="1">
      <c r="A54" s="121" t="s">
        <v>12</v>
      </c>
      <c r="B54" s="122"/>
      <c r="C54" s="123"/>
      <c r="D54" s="104"/>
      <c r="E54" s="105"/>
    </row>
    <row r="55" spans="1:5" s="69" customFormat="1" ht="18.75" customHeight="1" thickBot="1">
      <c r="A55" s="113" t="s">
        <v>35</v>
      </c>
      <c r="B55" s="114">
        <f>SUM(B56,B58:B59)</f>
        <v>1155800</v>
      </c>
      <c r="C55" s="114">
        <f>SUM(C56,C58:C59)</f>
        <v>636025.75</v>
      </c>
      <c r="D55" s="108">
        <f t="shared" si="4"/>
        <v>55.02904914345043</v>
      </c>
      <c r="E55" s="109">
        <f t="shared" si="5"/>
        <v>-519774.25</v>
      </c>
    </row>
    <row r="56" spans="1:5" s="69" customFormat="1" ht="17.25" customHeight="1" thickBot="1">
      <c r="A56" s="111" t="s">
        <v>36</v>
      </c>
      <c r="B56" s="112">
        <v>1034300</v>
      </c>
      <c r="C56" s="114">
        <v>636025.75</v>
      </c>
      <c r="D56" s="90">
        <f t="shared" si="4"/>
        <v>61.493352992361984</v>
      </c>
      <c r="E56" s="91">
        <f t="shared" si="5"/>
        <v>-398274.25</v>
      </c>
    </row>
    <row r="57" spans="1:5" s="69" customFormat="1" ht="18" customHeight="1">
      <c r="A57" s="43" t="s">
        <v>121</v>
      </c>
      <c r="B57" s="31">
        <v>730000</v>
      </c>
      <c r="C57" s="81">
        <v>454225.62</v>
      </c>
      <c r="D57" s="76">
        <f t="shared" si="4"/>
        <v>62.222687671232876</v>
      </c>
      <c r="E57" s="77">
        <f t="shared" si="5"/>
        <v>-275774.38</v>
      </c>
    </row>
    <row r="58" spans="1:5" s="69" customFormat="1" ht="15.75" customHeight="1">
      <c r="A58" s="43" t="s">
        <v>96</v>
      </c>
      <c r="B58" s="31">
        <v>500</v>
      </c>
      <c r="C58" s="81">
        <v>0</v>
      </c>
      <c r="D58" s="76">
        <f t="shared" si="4"/>
        <v>0</v>
      </c>
      <c r="E58" s="77">
        <f t="shared" si="5"/>
        <v>-500</v>
      </c>
    </row>
    <row r="59" spans="1:5" s="69" customFormat="1" ht="12.75">
      <c r="A59" s="43" t="s">
        <v>52</v>
      </c>
      <c r="B59" s="31">
        <f>SUM(B60,B61)</f>
        <v>121000</v>
      </c>
      <c r="C59" s="31">
        <f>SUM(C60,C61)</f>
        <v>0</v>
      </c>
      <c r="D59" s="76">
        <f t="shared" si="4"/>
        <v>0</v>
      </c>
      <c r="E59" s="77">
        <f t="shared" si="5"/>
        <v>-121000</v>
      </c>
    </row>
    <row r="60" spans="1:5" s="69" customFormat="1" ht="28.5" customHeight="1">
      <c r="A60" s="120" t="s">
        <v>166</v>
      </c>
      <c r="B60" s="31">
        <v>0</v>
      </c>
      <c r="C60" s="79">
        <v>0</v>
      </c>
      <c r="D60" s="76" t="str">
        <f t="shared" si="4"/>
        <v>   </v>
      </c>
      <c r="E60" s="79">
        <f t="shared" si="5"/>
        <v>0</v>
      </c>
    </row>
    <row r="61" spans="1:5" s="69" customFormat="1" ht="17.25" customHeight="1" thickBot="1">
      <c r="A61" s="238" t="s">
        <v>309</v>
      </c>
      <c r="B61" s="31">
        <v>121000</v>
      </c>
      <c r="C61" s="79">
        <v>0</v>
      </c>
      <c r="D61" s="76">
        <f t="shared" si="4"/>
        <v>0</v>
      </c>
      <c r="E61" s="79">
        <f t="shared" si="5"/>
        <v>-121000</v>
      </c>
    </row>
    <row r="62" spans="1:5" s="69" customFormat="1" ht="13.5" thickBot="1">
      <c r="A62" s="113" t="s">
        <v>49</v>
      </c>
      <c r="B62" s="249">
        <f>SUM(B63)</f>
        <v>71300</v>
      </c>
      <c r="C62" s="249">
        <f>SUM(C63)</f>
        <v>44294.59</v>
      </c>
      <c r="D62" s="250">
        <f t="shared" si="4"/>
        <v>62.124249649368856</v>
      </c>
      <c r="E62" s="251">
        <f t="shared" si="5"/>
        <v>-27005.410000000003</v>
      </c>
    </row>
    <row r="63" spans="1:5" s="69" customFormat="1" ht="20.25" customHeight="1" thickBot="1">
      <c r="A63" s="87" t="s">
        <v>108</v>
      </c>
      <c r="B63" s="115">
        <v>71300</v>
      </c>
      <c r="C63" s="89">
        <v>44294.59</v>
      </c>
      <c r="D63" s="117">
        <f t="shared" si="4"/>
        <v>62.124249649368856</v>
      </c>
      <c r="E63" s="118">
        <f t="shared" si="5"/>
        <v>-27005.410000000003</v>
      </c>
    </row>
    <row r="64" spans="1:5" s="69" customFormat="1" ht="13.5" thickBot="1">
      <c r="A64" s="113" t="s">
        <v>37</v>
      </c>
      <c r="B64" s="114">
        <f>SUM(B65)</f>
        <v>20400</v>
      </c>
      <c r="C64" s="114">
        <f>SUM(C65)</f>
        <v>20400</v>
      </c>
      <c r="D64" s="108">
        <f t="shared" si="4"/>
        <v>100</v>
      </c>
      <c r="E64" s="109">
        <f t="shared" si="5"/>
        <v>0</v>
      </c>
    </row>
    <row r="65" spans="1:5" s="69" customFormat="1" ht="13.5" thickBot="1">
      <c r="A65" s="87" t="s">
        <v>130</v>
      </c>
      <c r="B65" s="115">
        <v>20400</v>
      </c>
      <c r="C65" s="89">
        <v>20400</v>
      </c>
      <c r="D65" s="117">
        <f t="shared" si="4"/>
        <v>100</v>
      </c>
      <c r="E65" s="118">
        <f t="shared" si="5"/>
        <v>0</v>
      </c>
    </row>
    <row r="66" spans="1:5" s="69" customFormat="1" ht="13.5" thickBot="1">
      <c r="A66" s="113" t="s">
        <v>38</v>
      </c>
      <c r="B66" s="114">
        <f>B67+B70+B80</f>
        <v>1166100</v>
      </c>
      <c r="C66" s="114">
        <f>C67+C70+C80</f>
        <v>566200</v>
      </c>
      <c r="D66" s="108">
        <f t="shared" si="4"/>
        <v>48.55501243461109</v>
      </c>
      <c r="E66" s="109">
        <f t="shared" si="5"/>
        <v>-599900</v>
      </c>
    </row>
    <row r="67" spans="1:5" s="69" customFormat="1" ht="19.5" customHeight="1" thickBot="1">
      <c r="A67" s="87" t="s">
        <v>178</v>
      </c>
      <c r="B67" s="114">
        <f>SUM(B68+B69)</f>
        <v>4000</v>
      </c>
      <c r="C67" s="114">
        <f>SUM(C68+C69)</f>
        <v>0</v>
      </c>
      <c r="D67" s="108">
        <f>IF(B67=0,"   ",C67/B67*100)</f>
        <v>0</v>
      </c>
      <c r="E67" s="109">
        <f>C67-B67</f>
        <v>-4000</v>
      </c>
    </row>
    <row r="68" spans="1:5" s="69" customFormat="1" ht="17.25" customHeight="1" thickBot="1">
      <c r="A68" s="165" t="s">
        <v>179</v>
      </c>
      <c r="B68" s="115">
        <v>4000</v>
      </c>
      <c r="C68" s="114">
        <v>0</v>
      </c>
      <c r="D68" s="108">
        <f>IF(B68=0,"   ",C68/B68*100)</f>
        <v>0</v>
      </c>
      <c r="E68" s="109">
        <f>C68-B68</f>
        <v>-4000</v>
      </c>
    </row>
    <row r="69" spans="1:5" s="69" customFormat="1" ht="17.25" customHeight="1" thickBot="1">
      <c r="A69" s="165" t="s">
        <v>229</v>
      </c>
      <c r="B69" s="115">
        <v>0</v>
      </c>
      <c r="C69" s="114">
        <v>0</v>
      </c>
      <c r="D69" s="108"/>
      <c r="E69" s="109"/>
    </row>
    <row r="70" spans="1:5" s="69" customFormat="1" ht="18.75" customHeight="1">
      <c r="A70" s="165" t="s">
        <v>134</v>
      </c>
      <c r="B70" s="112">
        <f>SUM(B71,B75:B79)</f>
        <v>1064100</v>
      </c>
      <c r="C70" s="112">
        <f>SUM(C71,C75:C79)</f>
        <v>566200</v>
      </c>
      <c r="D70" s="90">
        <f t="shared" si="4"/>
        <v>53.209284841650216</v>
      </c>
      <c r="E70" s="91">
        <f t="shared" si="5"/>
        <v>-497900</v>
      </c>
    </row>
    <row r="71" spans="1:5" s="69" customFormat="1" ht="18.75" customHeight="1">
      <c r="A71" s="120" t="s">
        <v>267</v>
      </c>
      <c r="B71" s="134">
        <f>SUM(B72+B73+B74)</f>
        <v>450000</v>
      </c>
      <c r="C71" s="134">
        <f>SUM(C72+C73+C74)</f>
        <v>360000</v>
      </c>
      <c r="D71" s="90">
        <f>IF(B71=0,"   ",C71/B71*100)</f>
        <v>80</v>
      </c>
      <c r="E71" s="91">
        <f>C71-B71</f>
        <v>-90000</v>
      </c>
    </row>
    <row r="72" spans="1:5" s="69" customFormat="1" ht="33" customHeight="1">
      <c r="A72" s="120" t="s">
        <v>225</v>
      </c>
      <c r="B72" s="112">
        <v>270000</v>
      </c>
      <c r="C72" s="112">
        <v>270000</v>
      </c>
      <c r="D72" s="90">
        <f>IF(B72=0,"   ",C72/B72*100)</f>
        <v>100</v>
      </c>
      <c r="E72" s="91">
        <f>C72-B72</f>
        <v>0</v>
      </c>
    </row>
    <row r="73" spans="1:5" s="69" customFormat="1" ht="26.25" customHeight="1">
      <c r="A73" s="120" t="s">
        <v>268</v>
      </c>
      <c r="B73" s="112">
        <v>90000</v>
      </c>
      <c r="C73" s="112">
        <v>0</v>
      </c>
      <c r="D73" s="90">
        <f>IF(B73=0,"   ",C73/B73*100)</f>
        <v>0</v>
      </c>
      <c r="E73" s="91">
        <f>C73-B73</f>
        <v>-90000</v>
      </c>
    </row>
    <row r="74" spans="1:5" s="69" customFormat="1" ht="28.5" customHeight="1">
      <c r="A74" s="120" t="s">
        <v>281</v>
      </c>
      <c r="B74" s="112">
        <v>90000</v>
      </c>
      <c r="C74" s="112">
        <v>90000</v>
      </c>
      <c r="D74" s="90">
        <f>IF(B74=0,"   ",C74/B74*100)</f>
        <v>100</v>
      </c>
      <c r="E74" s="91">
        <f>C74-B74</f>
        <v>0</v>
      </c>
    </row>
    <row r="75" spans="1:5" s="69" customFormat="1" ht="12" customHeight="1">
      <c r="A75" s="87" t="s">
        <v>160</v>
      </c>
      <c r="B75" s="31">
        <v>0</v>
      </c>
      <c r="C75" s="31">
        <v>0</v>
      </c>
      <c r="D75" s="90" t="str">
        <f t="shared" si="4"/>
        <v>   </v>
      </c>
      <c r="E75" s="91">
        <f t="shared" si="5"/>
        <v>0</v>
      </c>
    </row>
    <row r="76" spans="1:5" s="69" customFormat="1" ht="14.25" customHeight="1">
      <c r="A76" s="87" t="s">
        <v>156</v>
      </c>
      <c r="B76" s="31">
        <v>0</v>
      </c>
      <c r="C76" s="31">
        <v>0</v>
      </c>
      <c r="D76" s="90" t="str">
        <f t="shared" si="4"/>
        <v>   </v>
      </c>
      <c r="E76" s="91">
        <f t="shared" si="5"/>
        <v>0</v>
      </c>
    </row>
    <row r="77" spans="1:5" s="69" customFormat="1" ht="19.5" customHeight="1">
      <c r="A77" s="87" t="s">
        <v>158</v>
      </c>
      <c r="B77" s="31">
        <v>11500</v>
      </c>
      <c r="C77" s="31">
        <v>0</v>
      </c>
      <c r="D77" s="90">
        <f t="shared" si="4"/>
        <v>0</v>
      </c>
      <c r="E77" s="167">
        <f t="shared" si="5"/>
        <v>-11500</v>
      </c>
    </row>
    <row r="78" spans="1:5" s="69" customFormat="1" ht="25.5">
      <c r="A78" s="82" t="s">
        <v>135</v>
      </c>
      <c r="B78" s="31">
        <v>380500</v>
      </c>
      <c r="C78" s="31">
        <v>144935</v>
      </c>
      <c r="D78" s="76">
        <f t="shared" si="4"/>
        <v>38.090670170827856</v>
      </c>
      <c r="E78" s="79">
        <f t="shared" si="5"/>
        <v>-235565</v>
      </c>
    </row>
    <row r="79" spans="1:5" s="69" customFormat="1" ht="25.5">
      <c r="A79" s="82" t="s">
        <v>136</v>
      </c>
      <c r="B79" s="31">
        <v>222100</v>
      </c>
      <c r="C79" s="31">
        <v>61265</v>
      </c>
      <c r="D79" s="76">
        <f t="shared" si="4"/>
        <v>27.584421431787483</v>
      </c>
      <c r="E79" s="79">
        <f t="shared" si="5"/>
        <v>-160835</v>
      </c>
    </row>
    <row r="80" spans="1:5" s="69" customFormat="1" ht="12.75">
      <c r="A80" s="111" t="s">
        <v>209</v>
      </c>
      <c r="B80" s="31">
        <f>SUM(B81+B82)</f>
        <v>98000</v>
      </c>
      <c r="C80" s="31">
        <f>SUM(C81+C82)</f>
        <v>0</v>
      </c>
      <c r="D80" s="76">
        <f>IF(B80=0,"   ",C80/B80*100)</f>
        <v>0</v>
      </c>
      <c r="E80" s="79">
        <f>C80-B80</f>
        <v>-98000</v>
      </c>
    </row>
    <row r="81" spans="1:5" s="69" customFormat="1" ht="25.5">
      <c r="A81" s="87" t="s">
        <v>210</v>
      </c>
      <c r="B81" s="31">
        <v>43000</v>
      </c>
      <c r="C81" s="31">
        <v>0</v>
      </c>
      <c r="D81" s="76">
        <f>IF(B81=0,"   ",C81/B81*100)</f>
        <v>0</v>
      </c>
      <c r="E81" s="79">
        <f>C81-B81</f>
        <v>-43000</v>
      </c>
    </row>
    <row r="82" spans="1:5" s="69" customFormat="1" ht="26.25" thickBot="1">
      <c r="A82" s="87" t="s">
        <v>285</v>
      </c>
      <c r="B82" s="31">
        <v>55000</v>
      </c>
      <c r="C82" s="31">
        <v>0</v>
      </c>
      <c r="D82" s="76">
        <f>IF(B82=0,"   ",C82/B82*100)</f>
        <v>0</v>
      </c>
      <c r="E82" s="79">
        <f>C82-B82</f>
        <v>-55000</v>
      </c>
    </row>
    <row r="83" spans="1:5" s="69" customFormat="1" ht="13.5" thickBot="1">
      <c r="A83" s="113" t="s">
        <v>13</v>
      </c>
      <c r="B83" s="31">
        <f>B91+B86+B88+B96</f>
        <v>504125.92000000004</v>
      </c>
      <c r="C83" s="31">
        <f>C91+C86+C88+C96</f>
        <v>191415.41999999998</v>
      </c>
      <c r="D83" s="76">
        <f>IF(B83=0,"   ",C83/B83*100)</f>
        <v>37.96976358605008</v>
      </c>
      <c r="E83" s="79">
        <f>C83-B83</f>
        <v>-312710.50000000006</v>
      </c>
    </row>
    <row r="84" spans="1:5" s="69" customFormat="1" ht="12.75" customHeight="1" hidden="1">
      <c r="A84" s="111" t="s">
        <v>40</v>
      </c>
      <c r="B84" s="112" t="e">
        <f>SUM(#REF!,B91,#REF!)</f>
        <v>#REF!</v>
      </c>
      <c r="C84" s="112" t="e">
        <f>SUM(#REF!,C91,#REF!)</f>
        <v>#REF!</v>
      </c>
      <c r="D84" s="90" t="e">
        <f>IF(#REF!=0,"   ",C84/#REF!)</f>
        <v>#REF!</v>
      </c>
      <c r="E84" s="91" t="e">
        <f>C84-#REF!</f>
        <v>#REF!</v>
      </c>
    </row>
    <row r="85" spans="1:5" s="69" customFormat="1" ht="12.75" customHeight="1" hidden="1">
      <c r="A85" s="43" t="s">
        <v>18</v>
      </c>
      <c r="B85" s="31">
        <v>851563</v>
      </c>
      <c r="C85" s="79">
        <v>851563</v>
      </c>
      <c r="D85" s="76" t="e">
        <f>IF(#REF!=0,"   ",C85/#REF!)</f>
        <v>#REF!</v>
      </c>
      <c r="E85" s="77" t="e">
        <f>C85-#REF!</f>
        <v>#REF!</v>
      </c>
    </row>
    <row r="86" spans="1:5" s="69" customFormat="1" ht="12.75" customHeight="1">
      <c r="A86" s="43" t="s">
        <v>167</v>
      </c>
      <c r="B86" s="31">
        <f>SUM(B87)</f>
        <v>0</v>
      </c>
      <c r="C86" s="31">
        <f>SUM(C87)</f>
        <v>0</v>
      </c>
      <c r="D86" s="76" t="str">
        <f>IF(B86=0,"   ",C86/B86*100)</f>
        <v>   </v>
      </c>
      <c r="E86" s="79">
        <f>C86-B86</f>
        <v>0</v>
      </c>
    </row>
    <row r="87" spans="1:5" s="69" customFormat="1" ht="12.75" customHeight="1">
      <c r="A87" s="43" t="s">
        <v>168</v>
      </c>
      <c r="B87" s="31">
        <v>0</v>
      </c>
      <c r="C87" s="31">
        <v>0</v>
      </c>
      <c r="D87" s="76" t="str">
        <f>IF(B87=0,"   ",C87/B87*100)</f>
        <v>   </v>
      </c>
      <c r="E87" s="79">
        <f>C87-B87</f>
        <v>0</v>
      </c>
    </row>
    <row r="88" spans="1:5" s="69" customFormat="1" ht="12.75" customHeight="1">
      <c r="A88" s="43" t="s">
        <v>159</v>
      </c>
      <c r="B88" s="31">
        <f>SUM(B89+B90)</f>
        <v>70319.51999999999</v>
      </c>
      <c r="C88" s="31">
        <f>SUM(C89+C90)</f>
        <v>60119.52</v>
      </c>
      <c r="D88" s="76">
        <f>IF(B88=0,"   ",C88/B88*100)</f>
        <v>85.49478153434495</v>
      </c>
      <c r="E88" s="79">
        <f>C88-B88</f>
        <v>-10199.999999999993</v>
      </c>
    </row>
    <row r="89" spans="1:5" s="69" customFormat="1" ht="12.75" customHeight="1">
      <c r="A89" s="16" t="s">
        <v>170</v>
      </c>
      <c r="B89" s="31">
        <v>53025.92</v>
      </c>
      <c r="C89" s="31">
        <v>42825.92</v>
      </c>
      <c r="D89" s="76">
        <f>IF(B89=0,"   ",C89/B89*100)</f>
        <v>80.76412441311722</v>
      </c>
      <c r="E89" s="79">
        <f>C89-B89</f>
        <v>-10200</v>
      </c>
    </row>
    <row r="90" spans="1:5" s="69" customFormat="1" ht="12.75" customHeight="1">
      <c r="A90" s="16" t="s">
        <v>255</v>
      </c>
      <c r="B90" s="31">
        <v>17293.6</v>
      </c>
      <c r="C90" s="31">
        <v>17293.6</v>
      </c>
      <c r="D90" s="76">
        <f>IF(B90=0,"   ",C90/B90*100)</f>
        <v>100</v>
      </c>
      <c r="E90" s="219">
        <f>C90-B90</f>
        <v>0</v>
      </c>
    </row>
    <row r="91" spans="1:5" s="69" customFormat="1" ht="12.75">
      <c r="A91" s="43" t="s">
        <v>58</v>
      </c>
      <c r="B91" s="31">
        <f>SUM(B92:B94)</f>
        <v>433806.4</v>
      </c>
      <c r="C91" s="31">
        <f>SUM(C92:C94)</f>
        <v>131295.9</v>
      </c>
      <c r="D91" s="76">
        <f aca="true" t="shared" si="6" ref="D91:D101">IF(B91=0,"   ",C91/B91*100)</f>
        <v>30.266012672934284</v>
      </c>
      <c r="E91" s="77">
        <f aca="true" t="shared" si="7" ref="E91:E101">C91-B91</f>
        <v>-302510.5</v>
      </c>
    </row>
    <row r="92" spans="1:5" s="69" customFormat="1" ht="15" customHeight="1">
      <c r="A92" s="43" t="s">
        <v>56</v>
      </c>
      <c r="B92" s="31">
        <v>235000</v>
      </c>
      <c r="C92" s="79">
        <v>113395.9</v>
      </c>
      <c r="D92" s="76">
        <f t="shared" si="6"/>
        <v>48.253574468085105</v>
      </c>
      <c r="E92" s="77">
        <f t="shared" si="7"/>
        <v>-121604.1</v>
      </c>
    </row>
    <row r="93" spans="1:5" s="69" customFormat="1" ht="32.25" customHeight="1">
      <c r="A93" s="120" t="s">
        <v>180</v>
      </c>
      <c r="B93" s="102">
        <v>140000</v>
      </c>
      <c r="C93" s="84">
        <v>0</v>
      </c>
      <c r="D93" s="104">
        <f t="shared" si="6"/>
        <v>0</v>
      </c>
      <c r="E93" s="105">
        <f t="shared" si="7"/>
        <v>-140000</v>
      </c>
    </row>
    <row r="94" spans="1:5" s="69" customFormat="1" ht="17.25" customHeight="1">
      <c r="A94" s="82" t="s">
        <v>57</v>
      </c>
      <c r="B94" s="102">
        <v>58806.4</v>
      </c>
      <c r="C94" s="110">
        <v>17900</v>
      </c>
      <c r="D94" s="104">
        <f t="shared" si="6"/>
        <v>30.438863797137728</v>
      </c>
      <c r="E94" s="105">
        <f t="shared" si="7"/>
        <v>-40906.4</v>
      </c>
    </row>
    <row r="95" spans="1:5" s="69" customFormat="1" ht="17.25" customHeight="1">
      <c r="A95" s="87" t="s">
        <v>224</v>
      </c>
      <c r="B95" s="115">
        <v>0</v>
      </c>
      <c r="C95" s="116">
        <v>0</v>
      </c>
      <c r="D95" s="117" t="str">
        <f t="shared" si="6"/>
        <v>   </v>
      </c>
      <c r="E95" s="118">
        <f t="shared" si="7"/>
        <v>0</v>
      </c>
    </row>
    <row r="96" spans="1:5" s="69" customFormat="1" ht="17.25" customHeight="1" thickBot="1">
      <c r="A96" s="16" t="s">
        <v>95</v>
      </c>
      <c r="B96" s="115">
        <v>0</v>
      </c>
      <c r="C96" s="116">
        <v>0</v>
      </c>
      <c r="D96" s="117" t="str">
        <f t="shared" si="6"/>
        <v>   </v>
      </c>
      <c r="E96" s="118">
        <f t="shared" si="7"/>
        <v>0</v>
      </c>
    </row>
    <row r="97" spans="1:5" s="69" customFormat="1" ht="15" customHeight="1" thickBot="1">
      <c r="A97" s="113" t="s">
        <v>17</v>
      </c>
      <c r="B97" s="114">
        <v>8000</v>
      </c>
      <c r="C97" s="114">
        <v>0</v>
      </c>
      <c r="D97" s="108">
        <f t="shared" si="6"/>
        <v>0</v>
      </c>
      <c r="E97" s="109">
        <f t="shared" si="7"/>
        <v>-8000</v>
      </c>
    </row>
    <row r="98" spans="1:5" s="69" customFormat="1" ht="13.5" thickBot="1">
      <c r="A98" s="113" t="s">
        <v>41</v>
      </c>
      <c r="B98" s="205">
        <f>SUM(B99)</f>
        <v>881600</v>
      </c>
      <c r="C98" s="114">
        <f>SUM(C99)</f>
        <v>680700</v>
      </c>
      <c r="D98" s="108">
        <f t="shared" si="6"/>
        <v>77.21188747731398</v>
      </c>
      <c r="E98" s="109">
        <f t="shared" si="7"/>
        <v>-200900</v>
      </c>
    </row>
    <row r="99" spans="1:5" s="69" customFormat="1" ht="13.5" thickBot="1">
      <c r="A99" s="111" t="s">
        <v>42</v>
      </c>
      <c r="B99" s="112">
        <v>881600</v>
      </c>
      <c r="C99" s="119">
        <v>680700</v>
      </c>
      <c r="D99" s="90">
        <f t="shared" si="6"/>
        <v>77.21188747731398</v>
      </c>
      <c r="E99" s="91">
        <f t="shared" si="7"/>
        <v>-200900</v>
      </c>
    </row>
    <row r="100" spans="1:5" s="69" customFormat="1" ht="19.5" customHeight="1" thickBot="1">
      <c r="A100" s="113" t="s">
        <v>125</v>
      </c>
      <c r="B100" s="205">
        <f>SUM(B101)</f>
        <v>7600</v>
      </c>
      <c r="C100" s="205">
        <f>SUM(C101)</f>
        <v>0</v>
      </c>
      <c r="D100" s="108">
        <f t="shared" si="6"/>
        <v>0</v>
      </c>
      <c r="E100" s="109">
        <f t="shared" si="7"/>
        <v>-7600</v>
      </c>
    </row>
    <row r="101" spans="1:5" s="69" customFormat="1" ht="16.5" customHeight="1">
      <c r="A101" s="87" t="s">
        <v>43</v>
      </c>
      <c r="B101" s="115">
        <v>7600</v>
      </c>
      <c r="C101" s="116">
        <v>0</v>
      </c>
      <c r="D101" s="117">
        <f t="shared" si="6"/>
        <v>0</v>
      </c>
      <c r="E101" s="118">
        <f t="shared" si="7"/>
        <v>-7600</v>
      </c>
    </row>
    <row r="102" spans="1:5" s="69" customFormat="1" ht="16.5" customHeight="1">
      <c r="A102" s="30" t="s">
        <v>15</v>
      </c>
      <c r="B102" s="75">
        <f>SUM(B55,B62,B64,B66,B83,B97,B98,B100,)</f>
        <v>3814925.92</v>
      </c>
      <c r="C102" s="75">
        <f>SUM(C55,C62,C64,C66,C83,C97,C98,C100,)</f>
        <v>2139035.76</v>
      </c>
      <c r="D102" s="76">
        <f>IF(B102=0,"   ",C102/B102*100)</f>
        <v>56.07017815958009</v>
      </c>
      <c r="E102" s="77">
        <f>C102-B102</f>
        <v>-1675890.1600000001</v>
      </c>
    </row>
    <row r="103" spans="1:5" s="69" customFormat="1" ht="12.75" customHeight="1" hidden="1">
      <c r="A103" s="87" t="s">
        <v>21</v>
      </c>
      <c r="B103" s="88"/>
      <c r="C103" s="89"/>
      <c r="D103" s="90" t="e">
        <f>IF(#REF!=0,"   ",C103/#REF!)</f>
        <v>#REF!</v>
      </c>
      <c r="E103" s="91" t="e">
        <f>C103-#REF!</f>
        <v>#REF!</v>
      </c>
    </row>
    <row r="104" spans="1:5" s="69" customFormat="1" ht="12.75" customHeight="1" hidden="1">
      <c r="A104" s="82" t="s">
        <v>22</v>
      </c>
      <c r="B104" s="83">
        <v>1122919</v>
      </c>
      <c r="C104" s="84">
        <v>815256</v>
      </c>
      <c r="D104" s="76" t="e">
        <f>IF(#REF!=0,"   ",C104/#REF!)</f>
        <v>#REF!</v>
      </c>
      <c r="E104" s="77" t="e">
        <f>C104-#REF!</f>
        <v>#REF!</v>
      </c>
    </row>
    <row r="105" spans="1:5" s="69" customFormat="1" ht="13.5" customHeight="1" hidden="1" thickBot="1">
      <c r="A105" s="82" t="s">
        <v>23</v>
      </c>
      <c r="B105" s="83">
        <v>1700000</v>
      </c>
      <c r="C105" s="110">
        <v>1700000</v>
      </c>
      <c r="D105" s="104" t="e">
        <f>IF(#REF!=0,"   ",C105/#REF!)</f>
        <v>#REF!</v>
      </c>
      <c r="E105" s="105" t="e">
        <f>C105-#REF!</f>
        <v>#REF!</v>
      </c>
    </row>
    <row r="106" spans="1:5" s="69" customFormat="1" ht="23.25" customHeight="1">
      <c r="A106" s="92" t="s">
        <v>311</v>
      </c>
      <c r="B106" s="92"/>
      <c r="C106" s="244"/>
      <c r="D106" s="244"/>
      <c r="E106" s="244"/>
    </row>
    <row r="107" spans="1:5" s="69" customFormat="1" ht="12" customHeight="1">
      <c r="A107" s="92" t="s">
        <v>165</v>
      </c>
      <c r="B107" s="92"/>
      <c r="C107" s="93" t="s">
        <v>312</v>
      </c>
      <c r="D107" s="94"/>
      <c r="E107" s="95"/>
    </row>
    <row r="108" spans="3:5" s="7" customFormat="1" ht="12.75">
      <c r="C108" s="6"/>
      <c r="E108" s="2"/>
    </row>
    <row r="109" spans="3:5" s="7" customFormat="1" ht="12.75">
      <c r="C109" s="6"/>
      <c r="E109" s="2"/>
    </row>
    <row r="110" spans="3:5" s="7" customFormat="1" ht="12.75">
      <c r="C110" s="6"/>
      <c r="E110" s="2"/>
    </row>
    <row r="111" spans="3:5" s="7" customFormat="1" ht="12.75">
      <c r="C111" s="6"/>
      <c r="E111" s="2"/>
    </row>
    <row r="112" spans="3:5" s="7" customFormat="1" ht="12.75">
      <c r="C112" s="6"/>
      <c r="E112" s="2"/>
    </row>
    <row r="113" spans="3:5" s="7" customFormat="1" ht="12.75">
      <c r="C113" s="6"/>
      <c r="E113" s="2"/>
    </row>
    <row r="114" spans="3:5" s="7" customFormat="1" ht="12.75">
      <c r="C114" s="6"/>
      <c r="E114" s="2"/>
    </row>
    <row r="115" spans="3:5" s="7" customFormat="1" ht="12.75">
      <c r="C115" s="6"/>
      <c r="E115" s="2"/>
    </row>
    <row r="116" spans="3:5" s="7" customFormat="1" ht="12.75">
      <c r="C116" s="6"/>
      <c r="E116" s="2"/>
    </row>
    <row r="117" spans="3:5" s="7" customFormat="1" ht="12.75">
      <c r="C117" s="6"/>
      <c r="E117" s="2"/>
    </row>
  </sheetData>
  <sheetProtection/>
  <mergeCells count="2">
    <mergeCell ref="C106:E10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56">
      <selection activeCell="A79" sqref="A79:E80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46" t="s">
        <v>302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8.25" customHeight="1">
      <c r="A4" s="34" t="s">
        <v>1</v>
      </c>
      <c r="B4" s="19" t="s">
        <v>245</v>
      </c>
      <c r="C4" s="32" t="s">
        <v>293</v>
      </c>
      <c r="D4" s="19" t="s">
        <v>246</v>
      </c>
      <c r="E4" s="36" t="s">
        <v>247</v>
      </c>
    </row>
    <row r="5" spans="1:5" ht="12.75">
      <c r="A5" s="13">
        <v>1</v>
      </c>
      <c r="B5" s="85"/>
      <c r="C5" s="10">
        <v>3</v>
      </c>
      <c r="D5" s="29">
        <v>4</v>
      </c>
      <c r="E5" s="14">
        <v>5</v>
      </c>
    </row>
    <row r="6" spans="1:5" ht="24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24">
        <f>SUM(B8)</f>
        <v>30000</v>
      </c>
      <c r="C7" s="24">
        <f>SUM(C8)</f>
        <v>19156.1</v>
      </c>
      <c r="D7" s="26">
        <f aca="true" t="shared" si="0" ref="D7:D77">IF(B7=0,"   ",C7/B7*100)</f>
        <v>63.85366666666666</v>
      </c>
      <c r="E7" s="45">
        <f aca="true" t="shared" si="1" ref="E7:E78">C7-B7</f>
        <v>-10843.900000000001</v>
      </c>
    </row>
    <row r="8" spans="1:5" ht="12.75">
      <c r="A8" s="16" t="s">
        <v>44</v>
      </c>
      <c r="B8" s="25">
        <v>30000</v>
      </c>
      <c r="C8" s="27">
        <v>19156.1</v>
      </c>
      <c r="D8" s="26">
        <f t="shared" si="0"/>
        <v>63.85366666666666</v>
      </c>
      <c r="E8" s="45">
        <f t="shared" si="1"/>
        <v>-10843.900000000001</v>
      </c>
    </row>
    <row r="9" spans="1:5" ht="16.5" customHeight="1">
      <c r="A9" s="74" t="s">
        <v>144</v>
      </c>
      <c r="B9" s="24">
        <f>SUM(B10)</f>
        <v>354400</v>
      </c>
      <c r="C9" s="24">
        <f>SUM(C10)</f>
        <v>239590.47</v>
      </c>
      <c r="D9" s="26">
        <f t="shared" si="0"/>
        <v>67.60453442437924</v>
      </c>
      <c r="E9" s="45">
        <f t="shared" si="1"/>
        <v>-114809.53</v>
      </c>
    </row>
    <row r="10" spans="1:5" ht="12.75">
      <c r="A10" s="43" t="s">
        <v>145</v>
      </c>
      <c r="B10" s="25">
        <v>354400</v>
      </c>
      <c r="C10" s="27">
        <v>239590.47</v>
      </c>
      <c r="D10" s="26">
        <f t="shared" si="0"/>
        <v>67.60453442437924</v>
      </c>
      <c r="E10" s="45">
        <f t="shared" si="1"/>
        <v>-114809.53</v>
      </c>
    </row>
    <row r="11" spans="1:5" ht="16.5" customHeight="1">
      <c r="A11" s="16" t="s">
        <v>7</v>
      </c>
      <c r="B11" s="25">
        <f>SUM(B12:B12)</f>
        <v>700</v>
      </c>
      <c r="C11" s="25">
        <f>SUM(C12:C12)</f>
        <v>0</v>
      </c>
      <c r="D11" s="26">
        <f t="shared" si="0"/>
        <v>0</v>
      </c>
      <c r="E11" s="45">
        <f t="shared" si="1"/>
        <v>-700</v>
      </c>
    </row>
    <row r="12" spans="1:5" ht="15" customHeight="1">
      <c r="A12" s="16" t="s">
        <v>26</v>
      </c>
      <c r="B12" s="25">
        <v>700</v>
      </c>
      <c r="C12" s="27">
        <v>0</v>
      </c>
      <c r="D12" s="26">
        <f t="shared" si="0"/>
        <v>0</v>
      </c>
      <c r="E12" s="45">
        <f t="shared" si="1"/>
        <v>-700</v>
      </c>
    </row>
    <row r="13" spans="1:5" ht="15" customHeight="1">
      <c r="A13" s="16" t="s">
        <v>9</v>
      </c>
      <c r="B13" s="25">
        <f>SUM(B14:B15)</f>
        <v>232000</v>
      </c>
      <c r="C13" s="25">
        <f>SUM(C14:C15)</f>
        <v>94417.81</v>
      </c>
      <c r="D13" s="26">
        <f t="shared" si="0"/>
        <v>40.697331896551724</v>
      </c>
      <c r="E13" s="45">
        <f t="shared" si="1"/>
        <v>-137582.19</v>
      </c>
    </row>
    <row r="14" spans="1:5" ht="15" customHeight="1">
      <c r="A14" s="16" t="s">
        <v>112</v>
      </c>
      <c r="B14" s="25">
        <v>25000</v>
      </c>
      <c r="C14" s="27">
        <v>4582.2</v>
      </c>
      <c r="D14" s="26">
        <f t="shared" si="0"/>
        <v>18.3288</v>
      </c>
      <c r="E14" s="45">
        <f t="shared" si="1"/>
        <v>-20417.8</v>
      </c>
    </row>
    <row r="15" spans="1:5" ht="15.75" customHeight="1">
      <c r="A15" s="43" t="s">
        <v>173</v>
      </c>
      <c r="B15" s="31">
        <f>SUM(B16:B17)</f>
        <v>207000</v>
      </c>
      <c r="C15" s="31">
        <f>SUM(C16:C17)</f>
        <v>89835.61</v>
      </c>
      <c r="D15" s="26">
        <f t="shared" si="0"/>
        <v>43.39884541062802</v>
      </c>
      <c r="E15" s="45">
        <f t="shared" si="1"/>
        <v>-117164.39</v>
      </c>
    </row>
    <row r="16" spans="1:5" ht="15.75" customHeight="1">
      <c r="A16" s="43" t="s">
        <v>174</v>
      </c>
      <c r="B16" s="31">
        <v>110900</v>
      </c>
      <c r="C16" s="79">
        <v>73891.23</v>
      </c>
      <c r="D16" s="26">
        <f t="shared" si="0"/>
        <v>66.62870153291253</v>
      </c>
      <c r="E16" s="45">
        <f t="shared" si="1"/>
        <v>-37008.770000000004</v>
      </c>
    </row>
    <row r="17" spans="1:5" ht="15.75" customHeight="1">
      <c r="A17" s="43" t="s">
        <v>175</v>
      </c>
      <c r="B17" s="31">
        <v>96100</v>
      </c>
      <c r="C17" s="79">
        <v>15944.38</v>
      </c>
      <c r="D17" s="26">
        <f t="shared" si="0"/>
        <v>16.591446409989594</v>
      </c>
      <c r="E17" s="45">
        <f t="shared" si="1"/>
        <v>-80155.62</v>
      </c>
    </row>
    <row r="18" spans="1:5" ht="28.5" customHeight="1">
      <c r="A18" s="16" t="s">
        <v>89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5.5" customHeight="1">
      <c r="A19" s="16" t="s">
        <v>28</v>
      </c>
      <c r="B19" s="25">
        <f>SUM(B20,B21)</f>
        <v>206000</v>
      </c>
      <c r="C19" s="25">
        <f>SUM(C20,C21)</f>
        <v>98114.65</v>
      </c>
      <c r="D19" s="26">
        <f t="shared" si="0"/>
        <v>47.628470873786405</v>
      </c>
      <c r="E19" s="45">
        <f t="shared" si="1"/>
        <v>-107885.35</v>
      </c>
    </row>
    <row r="20" spans="1:5" ht="12.75">
      <c r="A20" s="16" t="s">
        <v>162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16.5" customHeight="1">
      <c r="A21" s="43" t="s">
        <v>163</v>
      </c>
      <c r="B21" s="25">
        <v>206000</v>
      </c>
      <c r="C21" s="27">
        <v>98114.65</v>
      </c>
      <c r="D21" s="26">
        <f t="shared" si="0"/>
        <v>47.628470873786405</v>
      </c>
      <c r="E21" s="45">
        <f t="shared" si="1"/>
        <v>-107885.35</v>
      </c>
    </row>
    <row r="22" spans="1:5" ht="17.2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4.25" customHeight="1">
      <c r="A23" s="16" t="s">
        <v>78</v>
      </c>
      <c r="B23" s="25">
        <f>SUM(B24)</f>
        <v>0</v>
      </c>
      <c r="C23" s="25">
        <f>SUM(C24)</f>
        <v>0</v>
      </c>
      <c r="D23" s="26" t="str">
        <f t="shared" si="0"/>
        <v>   </v>
      </c>
      <c r="E23" s="45">
        <f t="shared" si="1"/>
        <v>0</v>
      </c>
    </row>
    <row r="24" spans="1:5" ht="27" customHeight="1">
      <c r="A24" s="16" t="s">
        <v>182</v>
      </c>
      <c r="B24" s="24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5.75" customHeight="1">
      <c r="A25" s="16" t="s">
        <v>32</v>
      </c>
      <c r="B25" s="25">
        <f>SUM(B27)</f>
        <v>0</v>
      </c>
      <c r="C25" s="25">
        <f>C27+C26</f>
        <v>0</v>
      </c>
      <c r="D25" s="26" t="str">
        <f t="shared" si="0"/>
        <v>   </v>
      </c>
      <c r="E25" s="45">
        <f t="shared" si="1"/>
        <v>0</v>
      </c>
    </row>
    <row r="26" spans="1:5" ht="15.75" customHeight="1">
      <c r="A26" s="16" t="s">
        <v>128</v>
      </c>
      <c r="B26" s="25">
        <v>0</v>
      </c>
      <c r="C26" s="25">
        <v>0</v>
      </c>
      <c r="D26" s="26"/>
      <c r="E26" s="45">
        <f t="shared" si="1"/>
        <v>0</v>
      </c>
    </row>
    <row r="27" spans="1:5" ht="17.25" customHeight="1">
      <c r="A27" s="16" t="s">
        <v>50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24" customHeight="1">
      <c r="A28" s="193" t="s">
        <v>10</v>
      </c>
      <c r="B28" s="44">
        <f>B7+B11+B13+B19+B22+B23+B25+B9+B18</f>
        <v>823100</v>
      </c>
      <c r="C28" s="44">
        <f>C7+C11+C13+C19+C22+C23+C25+C9+C18</f>
        <v>451279.03</v>
      </c>
      <c r="D28" s="26">
        <f t="shared" si="0"/>
        <v>54.82675616571498</v>
      </c>
      <c r="E28" s="45">
        <f t="shared" si="1"/>
        <v>-371820.97</v>
      </c>
    </row>
    <row r="29" spans="1:5" ht="21" customHeight="1">
      <c r="A29" s="201" t="s">
        <v>147</v>
      </c>
      <c r="B29" s="215">
        <f>SUM(B30:B32,B35,B38+B39+B40)</f>
        <v>1584800</v>
      </c>
      <c r="C29" s="215">
        <f>SUM(C30:C32,C35,C38+C39+C40)</f>
        <v>525057.5</v>
      </c>
      <c r="D29" s="158">
        <f t="shared" si="0"/>
        <v>33.13083669863705</v>
      </c>
      <c r="E29" s="159">
        <f t="shared" si="1"/>
        <v>-1059742.5</v>
      </c>
    </row>
    <row r="30" spans="1:5" ht="15.75" customHeight="1">
      <c r="A30" s="17" t="s">
        <v>34</v>
      </c>
      <c r="B30" s="24">
        <v>595100</v>
      </c>
      <c r="C30" s="24">
        <v>396400</v>
      </c>
      <c r="D30" s="26">
        <f t="shared" si="0"/>
        <v>66.61065367165182</v>
      </c>
      <c r="E30" s="45">
        <f t="shared" si="1"/>
        <v>-198700</v>
      </c>
    </row>
    <row r="31" spans="1:5" ht="26.25" customHeight="1">
      <c r="A31" s="150" t="s">
        <v>51</v>
      </c>
      <c r="B31" s="151">
        <v>71200</v>
      </c>
      <c r="C31" s="154">
        <v>53500</v>
      </c>
      <c r="D31" s="152">
        <f t="shared" si="0"/>
        <v>75.14044943820225</v>
      </c>
      <c r="E31" s="153">
        <f t="shared" si="1"/>
        <v>-17700</v>
      </c>
    </row>
    <row r="32" spans="1:5" ht="29.25" customHeight="1">
      <c r="A32" s="124" t="s">
        <v>157</v>
      </c>
      <c r="B32" s="25">
        <f>SUM(B33:B34)</f>
        <v>6200</v>
      </c>
      <c r="C32" s="25">
        <f>SUM(C33:C34)</f>
        <v>1828.5</v>
      </c>
      <c r="D32" s="26">
        <f t="shared" si="0"/>
        <v>29.491935483870968</v>
      </c>
      <c r="E32" s="45">
        <f t="shared" si="1"/>
        <v>-4371.5</v>
      </c>
    </row>
    <row r="33" spans="1:5" ht="14.25" customHeight="1">
      <c r="A33" s="124" t="s">
        <v>176</v>
      </c>
      <c r="B33" s="25">
        <v>100</v>
      </c>
      <c r="C33" s="27">
        <v>100</v>
      </c>
      <c r="D33" s="26">
        <f>IF(B33=0,"   ",C33/B33*100)</f>
        <v>100</v>
      </c>
      <c r="E33" s="45">
        <f>C33-B33</f>
        <v>0</v>
      </c>
    </row>
    <row r="34" spans="1:5" ht="29.25" customHeight="1">
      <c r="A34" s="124" t="s">
        <v>177</v>
      </c>
      <c r="B34" s="25">
        <v>6100</v>
      </c>
      <c r="C34" s="27">
        <v>1728.5</v>
      </c>
      <c r="D34" s="26">
        <f>IF(B34=0,"   ",C34/B34*100)</f>
        <v>28.33606557377049</v>
      </c>
      <c r="E34" s="45">
        <f>C34-B34</f>
        <v>-4371.5</v>
      </c>
    </row>
    <row r="35" spans="1:5" ht="18" customHeight="1">
      <c r="A35" s="16" t="s">
        <v>82</v>
      </c>
      <c r="B35" s="25">
        <f>B37+B36</f>
        <v>653300</v>
      </c>
      <c r="C35" s="25">
        <f>C37</f>
        <v>73329</v>
      </c>
      <c r="D35" s="26">
        <f t="shared" si="0"/>
        <v>11.224399204041022</v>
      </c>
      <c r="E35" s="45">
        <f t="shared" si="1"/>
        <v>-579971</v>
      </c>
    </row>
    <row r="36" spans="1:5" ht="27" customHeight="1">
      <c r="A36" s="56" t="s">
        <v>226</v>
      </c>
      <c r="B36" s="25">
        <v>388500</v>
      </c>
      <c r="C36" s="25">
        <v>0</v>
      </c>
      <c r="D36" s="26">
        <f>IF(B36=0,"   ",C36/B36*100)</f>
        <v>0</v>
      </c>
      <c r="E36" s="45">
        <f>C36-B36</f>
        <v>-388500</v>
      </c>
    </row>
    <row r="37" spans="1:5" ht="17.25" customHeight="1">
      <c r="A37" s="16" t="s">
        <v>110</v>
      </c>
      <c r="B37" s="96">
        <v>264800</v>
      </c>
      <c r="C37" s="25">
        <v>73329</v>
      </c>
      <c r="D37" s="26">
        <f t="shared" si="0"/>
        <v>27.692220543806645</v>
      </c>
      <c r="E37" s="45">
        <f t="shared" si="1"/>
        <v>-191471</v>
      </c>
    </row>
    <row r="38" spans="1:5" ht="17.25" customHeight="1">
      <c r="A38" s="16" t="s">
        <v>186</v>
      </c>
      <c r="B38" s="96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s="7" customFormat="1" ht="42" customHeight="1">
      <c r="A39" s="16" t="s">
        <v>104</v>
      </c>
      <c r="B39" s="96">
        <v>0</v>
      </c>
      <c r="C39" s="27">
        <v>0</v>
      </c>
      <c r="D39" s="26" t="str">
        <f t="shared" si="0"/>
        <v>   </v>
      </c>
      <c r="E39" s="42">
        <f t="shared" si="1"/>
        <v>0</v>
      </c>
    </row>
    <row r="40" spans="1:5" s="7" customFormat="1" ht="21" customHeight="1">
      <c r="A40" s="16" t="s">
        <v>257</v>
      </c>
      <c r="B40" s="96">
        <v>259000</v>
      </c>
      <c r="C40" s="27">
        <v>0</v>
      </c>
      <c r="D40" s="26">
        <f t="shared" si="0"/>
        <v>0</v>
      </c>
      <c r="E40" s="42">
        <f t="shared" si="1"/>
        <v>-259000</v>
      </c>
    </row>
    <row r="41" spans="1:5" ht="19.5" customHeight="1">
      <c r="A41" s="193" t="s">
        <v>11</v>
      </c>
      <c r="B41" s="168">
        <f>SUM(B28,B29,)</f>
        <v>2407900</v>
      </c>
      <c r="C41" s="168">
        <f>SUM(C28,C29,)</f>
        <v>976336.53</v>
      </c>
      <c r="D41" s="156">
        <f t="shared" si="0"/>
        <v>40.54722081481789</v>
      </c>
      <c r="E41" s="45">
        <f t="shared" si="1"/>
        <v>-1431563.47</v>
      </c>
    </row>
    <row r="42" spans="1:5" ht="14.25" customHeight="1">
      <c r="A42" s="30"/>
      <c r="B42" s="24"/>
      <c r="C42" s="25"/>
      <c r="D42" s="26" t="str">
        <f t="shared" si="0"/>
        <v>   </v>
      </c>
      <c r="E42" s="45"/>
    </row>
    <row r="43" spans="1:5" ht="12.75">
      <c r="A43" s="22" t="s">
        <v>12</v>
      </c>
      <c r="B43" s="47"/>
      <c r="C43" s="48"/>
      <c r="D43" s="26" t="str">
        <f t="shared" si="0"/>
        <v>   </v>
      </c>
      <c r="E43" s="45"/>
    </row>
    <row r="44" spans="1:5" ht="18.75" customHeight="1">
      <c r="A44" s="16" t="s">
        <v>35</v>
      </c>
      <c r="B44" s="27">
        <f>SUM(B45,B47,B48)</f>
        <v>1034200</v>
      </c>
      <c r="C44" s="27">
        <f>SUM(C45,C48)</f>
        <v>573443.14</v>
      </c>
      <c r="D44" s="26">
        <f t="shared" si="0"/>
        <v>55.4479926513247</v>
      </c>
      <c r="E44" s="45">
        <f t="shared" si="1"/>
        <v>-460756.86</v>
      </c>
    </row>
    <row r="45" spans="1:5" ht="16.5" customHeight="1">
      <c r="A45" s="16" t="s">
        <v>36</v>
      </c>
      <c r="B45" s="25">
        <v>1033700</v>
      </c>
      <c r="C45" s="25">
        <v>573443.14</v>
      </c>
      <c r="D45" s="26">
        <f t="shared" si="0"/>
        <v>55.47481280835832</v>
      </c>
      <c r="E45" s="45">
        <f t="shared" si="1"/>
        <v>-460256.86</v>
      </c>
    </row>
    <row r="46" spans="1:5" ht="12.75">
      <c r="A46" s="97" t="s">
        <v>123</v>
      </c>
      <c r="B46" s="25">
        <v>728420</v>
      </c>
      <c r="C46" s="28">
        <v>428099.4</v>
      </c>
      <c r="D46" s="26">
        <f t="shared" si="0"/>
        <v>58.77095631641086</v>
      </c>
      <c r="E46" s="45">
        <f t="shared" si="1"/>
        <v>-300320.6</v>
      </c>
    </row>
    <row r="47" spans="1:5" ht="12.75">
      <c r="A47" s="16" t="s">
        <v>103</v>
      </c>
      <c r="B47" s="25">
        <v>500</v>
      </c>
      <c r="C47" s="27">
        <v>0</v>
      </c>
      <c r="D47" s="26">
        <f t="shared" si="0"/>
        <v>0</v>
      </c>
      <c r="E47" s="45">
        <f t="shared" si="1"/>
        <v>-500</v>
      </c>
    </row>
    <row r="48" spans="1:5" ht="12.75">
      <c r="A48" s="16" t="s">
        <v>52</v>
      </c>
      <c r="B48" s="27">
        <f>SUM(B49)</f>
        <v>0</v>
      </c>
      <c r="C48" s="27">
        <f>SUM(C49)</f>
        <v>0</v>
      </c>
      <c r="D48" s="26" t="str">
        <f t="shared" si="0"/>
        <v>   </v>
      </c>
      <c r="E48" s="45">
        <f t="shared" si="1"/>
        <v>0</v>
      </c>
    </row>
    <row r="49" spans="1:5" ht="25.5">
      <c r="A49" s="120" t="s">
        <v>166</v>
      </c>
      <c r="B49" s="25">
        <v>0</v>
      </c>
      <c r="C49" s="27">
        <v>0</v>
      </c>
      <c r="D49" s="26" t="str">
        <f t="shared" si="0"/>
        <v>   </v>
      </c>
      <c r="E49" s="45">
        <f t="shared" si="1"/>
        <v>0</v>
      </c>
    </row>
    <row r="50" spans="1:5" ht="19.5" customHeight="1">
      <c r="A50" s="16" t="s">
        <v>49</v>
      </c>
      <c r="B50" s="27">
        <f>SUM(B51)</f>
        <v>71200</v>
      </c>
      <c r="C50" s="27">
        <f>SUM(C51)</f>
        <v>45670.61</v>
      </c>
      <c r="D50" s="26">
        <f t="shared" si="0"/>
        <v>64.14411516853933</v>
      </c>
      <c r="E50" s="45">
        <f t="shared" si="1"/>
        <v>-25529.39</v>
      </c>
    </row>
    <row r="51" spans="1:5" ht="19.5" customHeight="1">
      <c r="A51" s="16" t="s">
        <v>108</v>
      </c>
      <c r="B51" s="25">
        <v>71200</v>
      </c>
      <c r="C51" s="27">
        <v>45670.61</v>
      </c>
      <c r="D51" s="26">
        <f t="shared" si="0"/>
        <v>64.14411516853933</v>
      </c>
      <c r="E51" s="45">
        <f t="shared" si="1"/>
        <v>-25529.39</v>
      </c>
    </row>
    <row r="52" spans="1:5" ht="16.5" customHeight="1">
      <c r="A52" s="16" t="s">
        <v>37</v>
      </c>
      <c r="B52" s="25">
        <f>SUM(B53)</f>
        <v>400</v>
      </c>
      <c r="C52" s="27">
        <f>SUM(C53)</f>
        <v>0</v>
      </c>
      <c r="D52" s="26">
        <f t="shared" si="0"/>
        <v>0</v>
      </c>
      <c r="E52" s="45">
        <f t="shared" si="1"/>
        <v>-400</v>
      </c>
    </row>
    <row r="53" spans="1:5" ht="15" customHeight="1">
      <c r="A53" s="43" t="s">
        <v>130</v>
      </c>
      <c r="B53" s="25">
        <v>400</v>
      </c>
      <c r="C53" s="27">
        <v>0</v>
      </c>
      <c r="D53" s="26">
        <f t="shared" si="0"/>
        <v>0</v>
      </c>
      <c r="E53" s="45">
        <f t="shared" si="1"/>
        <v>-400</v>
      </c>
    </row>
    <row r="54" spans="1:5" ht="19.5" customHeight="1">
      <c r="A54" s="16" t="s">
        <v>38</v>
      </c>
      <c r="B54" s="25">
        <f>B58+B55</f>
        <v>363600</v>
      </c>
      <c r="C54" s="25">
        <f>C58+C55</f>
        <v>98999</v>
      </c>
      <c r="D54" s="26">
        <f t="shared" si="0"/>
        <v>27.22744774477448</v>
      </c>
      <c r="E54" s="45">
        <f t="shared" si="1"/>
        <v>-264601</v>
      </c>
    </row>
    <row r="55" spans="1:5" ht="19.5" customHeight="1">
      <c r="A55" s="87" t="s">
        <v>178</v>
      </c>
      <c r="B55" s="25">
        <f>SUM(B57,B56)</f>
        <v>6100</v>
      </c>
      <c r="C55" s="25">
        <f>SUM(C57,C56)</f>
        <v>0</v>
      </c>
      <c r="D55" s="26">
        <f>IF(B55=0,"   ",C55/B55*100)</f>
        <v>0</v>
      </c>
      <c r="E55" s="45">
        <f>C55-B55</f>
        <v>-6100</v>
      </c>
    </row>
    <row r="56" spans="1:5" ht="15" customHeight="1">
      <c r="A56" s="87" t="s">
        <v>185</v>
      </c>
      <c r="B56" s="25">
        <v>0</v>
      </c>
      <c r="C56" s="25">
        <v>0</v>
      </c>
      <c r="D56" s="26" t="str">
        <f>IF(B56=0,"   ",C56/B56*100)</f>
        <v>   </v>
      </c>
      <c r="E56" s="45">
        <f>C56-B56</f>
        <v>0</v>
      </c>
    </row>
    <row r="57" spans="1:5" ht="13.5" customHeight="1">
      <c r="A57" s="87" t="s">
        <v>179</v>
      </c>
      <c r="B57" s="25">
        <v>6100</v>
      </c>
      <c r="C57" s="25">
        <v>0</v>
      </c>
      <c r="D57" s="26">
        <f>IF(B57=0,"   ",C57/B57*100)</f>
        <v>0</v>
      </c>
      <c r="E57" s="45">
        <f>C57-B57</f>
        <v>-6100</v>
      </c>
    </row>
    <row r="58" spans="1:5" ht="12.75">
      <c r="A58" s="111" t="s">
        <v>134</v>
      </c>
      <c r="B58" s="25">
        <f>B59+B60+B61</f>
        <v>357500</v>
      </c>
      <c r="C58" s="25">
        <f>C59+C60+C61</f>
        <v>98999</v>
      </c>
      <c r="D58" s="26">
        <f t="shared" si="0"/>
        <v>27.692027972027972</v>
      </c>
      <c r="E58" s="45">
        <f t="shared" si="1"/>
        <v>-258501</v>
      </c>
    </row>
    <row r="59" spans="1:5" ht="19.5" customHeight="1">
      <c r="A59" s="87" t="s">
        <v>161</v>
      </c>
      <c r="B59" s="25">
        <v>0</v>
      </c>
      <c r="C59" s="25">
        <v>0</v>
      </c>
      <c r="D59" s="26" t="str">
        <f t="shared" si="0"/>
        <v>   </v>
      </c>
      <c r="E59" s="45">
        <f t="shared" si="1"/>
        <v>0</v>
      </c>
    </row>
    <row r="60" spans="1:5" ht="22.5" customHeight="1">
      <c r="A60" s="82" t="s">
        <v>135</v>
      </c>
      <c r="B60" s="25">
        <v>264800</v>
      </c>
      <c r="C60" s="25">
        <v>73329</v>
      </c>
      <c r="D60" s="26">
        <f t="shared" si="0"/>
        <v>27.692220543806645</v>
      </c>
      <c r="E60" s="45">
        <f t="shared" si="1"/>
        <v>-191471</v>
      </c>
    </row>
    <row r="61" spans="1:5" ht="25.5" customHeight="1">
      <c r="A61" s="82" t="s">
        <v>136</v>
      </c>
      <c r="B61" s="25">
        <v>92700</v>
      </c>
      <c r="C61" s="25">
        <v>25670</v>
      </c>
      <c r="D61" s="26">
        <f t="shared" si="0"/>
        <v>27.691477885652642</v>
      </c>
      <c r="E61" s="45">
        <f t="shared" si="1"/>
        <v>-67030</v>
      </c>
    </row>
    <row r="62" spans="1:5" ht="15" customHeight="1">
      <c r="A62" s="16" t="s">
        <v>13</v>
      </c>
      <c r="B62" s="25">
        <f>SUM(B68,B63)</f>
        <v>821200</v>
      </c>
      <c r="C62" s="25">
        <f>SUM(C68,C63)</f>
        <v>80580</v>
      </c>
      <c r="D62" s="26">
        <f t="shared" si="0"/>
        <v>9.812469556746226</v>
      </c>
      <c r="E62" s="45">
        <f t="shared" si="1"/>
        <v>-740620</v>
      </c>
    </row>
    <row r="63" spans="1:5" ht="15.75" customHeight="1">
      <c r="A63" s="16" t="s">
        <v>91</v>
      </c>
      <c r="B63" s="25">
        <f>B64</f>
        <v>647500</v>
      </c>
      <c r="C63" s="25">
        <f>C64</f>
        <v>0</v>
      </c>
      <c r="D63" s="26">
        <f>IF(B63=0,"   ",C63/B63*100)</f>
        <v>0</v>
      </c>
      <c r="E63" s="45">
        <f>C63-B63</f>
        <v>-647500</v>
      </c>
    </row>
    <row r="64" spans="1:5" ht="25.5" customHeight="1">
      <c r="A64" s="120" t="s">
        <v>267</v>
      </c>
      <c r="B64" s="25">
        <f>B65+B66+B67</f>
        <v>647500</v>
      </c>
      <c r="C64" s="25">
        <f>C65+C66+C67</f>
        <v>0</v>
      </c>
      <c r="D64" s="26">
        <f>IF(B64=0,"   ",C64/B64*100)</f>
        <v>0</v>
      </c>
      <c r="E64" s="45">
        <f>C64-B64</f>
        <v>-647500</v>
      </c>
    </row>
    <row r="65" spans="1:5" ht="25.5" customHeight="1">
      <c r="A65" s="120" t="s">
        <v>225</v>
      </c>
      <c r="B65" s="25">
        <v>388500</v>
      </c>
      <c r="C65" s="25">
        <v>0</v>
      </c>
      <c r="D65" s="26">
        <f>IF(B65=0,"   ",C65/B65*100)</f>
        <v>0</v>
      </c>
      <c r="E65" s="45">
        <f>C65-B65</f>
        <v>-388500</v>
      </c>
    </row>
    <row r="66" spans="1:5" ht="24.75" customHeight="1">
      <c r="A66" s="120" t="s">
        <v>258</v>
      </c>
      <c r="B66" s="25">
        <v>129500</v>
      </c>
      <c r="C66" s="25">
        <v>0</v>
      </c>
      <c r="D66" s="26">
        <f>IF(B66=0,"   ",C66/B66*100)</f>
        <v>0</v>
      </c>
      <c r="E66" s="45">
        <f>C66-B66</f>
        <v>-129500</v>
      </c>
    </row>
    <row r="67" spans="1:5" ht="25.5" customHeight="1">
      <c r="A67" s="120" t="s">
        <v>273</v>
      </c>
      <c r="B67" s="25">
        <v>129500</v>
      </c>
      <c r="C67" s="25">
        <v>0</v>
      </c>
      <c r="D67" s="26">
        <f>IF(B67=0,"   ",C67/B67*100)</f>
        <v>0</v>
      </c>
      <c r="E67" s="45">
        <f>C67-B67</f>
        <v>-129500</v>
      </c>
    </row>
    <row r="68" spans="1:5" ht="12.75">
      <c r="A68" s="16" t="s">
        <v>58</v>
      </c>
      <c r="B68" s="25">
        <f>B69+B71+B70+B72</f>
        <v>173700</v>
      </c>
      <c r="C68" s="25">
        <f>C69+C71+C70+C72</f>
        <v>80580</v>
      </c>
      <c r="D68" s="26">
        <f t="shared" si="0"/>
        <v>46.39032815198618</v>
      </c>
      <c r="E68" s="45">
        <f t="shared" si="1"/>
        <v>-93120</v>
      </c>
    </row>
    <row r="69" spans="1:5" ht="12.75">
      <c r="A69" s="16" t="s">
        <v>60</v>
      </c>
      <c r="B69" s="25">
        <v>123800</v>
      </c>
      <c r="C69" s="27">
        <v>60580</v>
      </c>
      <c r="D69" s="26">
        <f t="shared" si="0"/>
        <v>48.933764135702745</v>
      </c>
      <c r="E69" s="45">
        <f t="shared" si="1"/>
        <v>-63220</v>
      </c>
    </row>
    <row r="70" spans="1:5" ht="25.5">
      <c r="A70" s="120" t="s">
        <v>180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59</v>
      </c>
      <c r="B71" s="25">
        <v>49900</v>
      </c>
      <c r="C71" s="27">
        <v>20000</v>
      </c>
      <c r="D71" s="26">
        <f t="shared" si="0"/>
        <v>40.08016032064128</v>
      </c>
      <c r="E71" s="45">
        <f t="shared" si="1"/>
        <v>-29900</v>
      </c>
    </row>
    <row r="72" spans="1:5" ht="12.75">
      <c r="A72" s="175" t="s">
        <v>95</v>
      </c>
      <c r="B72" s="25">
        <v>0</v>
      </c>
      <c r="C72" s="27">
        <v>0</v>
      </c>
      <c r="D72" s="26" t="str">
        <f t="shared" si="0"/>
        <v>   </v>
      </c>
      <c r="E72" s="45">
        <f t="shared" si="1"/>
        <v>0</v>
      </c>
    </row>
    <row r="73" spans="1:5" ht="17.25" customHeight="1">
      <c r="A73" s="18" t="s">
        <v>17</v>
      </c>
      <c r="B73" s="31">
        <v>8000</v>
      </c>
      <c r="C73" s="31">
        <v>0</v>
      </c>
      <c r="D73" s="26">
        <f t="shared" si="0"/>
        <v>0</v>
      </c>
      <c r="E73" s="45">
        <f t="shared" si="1"/>
        <v>-8000</v>
      </c>
    </row>
    <row r="74" spans="1:5" ht="15" customHeight="1">
      <c r="A74" s="16" t="s">
        <v>41</v>
      </c>
      <c r="B74" s="24">
        <f>SUM(B75,)</f>
        <v>93300</v>
      </c>
      <c r="C74" s="24">
        <f>SUM(C75,)</f>
        <v>93300</v>
      </c>
      <c r="D74" s="26">
        <f t="shared" si="0"/>
        <v>100</v>
      </c>
      <c r="E74" s="45">
        <f t="shared" si="1"/>
        <v>0</v>
      </c>
    </row>
    <row r="75" spans="1:5" ht="12.75">
      <c r="A75" s="16" t="s">
        <v>42</v>
      </c>
      <c r="B75" s="25">
        <v>93300</v>
      </c>
      <c r="C75" s="27">
        <v>93300</v>
      </c>
      <c r="D75" s="26">
        <f t="shared" si="0"/>
        <v>100</v>
      </c>
      <c r="E75" s="45">
        <f t="shared" si="1"/>
        <v>0</v>
      </c>
    </row>
    <row r="76" spans="1:5" ht="18" customHeight="1">
      <c r="A76" s="16" t="s">
        <v>125</v>
      </c>
      <c r="B76" s="24">
        <f>SUM(B77,)</f>
        <v>16000</v>
      </c>
      <c r="C76" s="24">
        <f>SUM(C77,)</f>
        <v>16000</v>
      </c>
      <c r="D76" s="26">
        <f t="shared" si="0"/>
        <v>100</v>
      </c>
      <c r="E76" s="45">
        <f t="shared" si="1"/>
        <v>0</v>
      </c>
    </row>
    <row r="77" spans="1:5" ht="12.75">
      <c r="A77" s="16" t="s">
        <v>43</v>
      </c>
      <c r="B77" s="151">
        <v>16000</v>
      </c>
      <c r="C77" s="155">
        <v>16000</v>
      </c>
      <c r="D77" s="152">
        <f t="shared" si="0"/>
        <v>100</v>
      </c>
      <c r="E77" s="153">
        <f t="shared" si="1"/>
        <v>0</v>
      </c>
    </row>
    <row r="78" spans="1:5" ht="21" customHeight="1">
      <c r="A78" s="193" t="s">
        <v>15</v>
      </c>
      <c r="B78" s="24">
        <f>SUM(B44,B50,B52,B54,B62,B73,B74,B76,)</f>
        <v>2407900</v>
      </c>
      <c r="C78" s="24">
        <f>SUM(C44,C50,C52,C54,C62,C73,C74,C76,)</f>
        <v>907992.75</v>
      </c>
      <c r="D78" s="26">
        <f>IF(B78=0,"   ",C78/B78*100)</f>
        <v>37.70890610075169</v>
      </c>
      <c r="E78" s="45">
        <f t="shared" si="1"/>
        <v>-1499907.25</v>
      </c>
    </row>
    <row r="79" spans="1:5" s="69" customFormat="1" ht="23.25" customHeight="1">
      <c r="A79" s="92" t="s">
        <v>311</v>
      </c>
      <c r="B79" s="92"/>
      <c r="C79" s="244"/>
      <c r="D79" s="244"/>
      <c r="E79" s="244"/>
    </row>
    <row r="80" spans="1:5" s="69" customFormat="1" ht="12" customHeight="1">
      <c r="A80" s="92" t="s">
        <v>165</v>
      </c>
      <c r="B80" s="92"/>
      <c r="C80" s="93" t="s">
        <v>312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</sheetData>
  <sheetProtection/>
  <mergeCells count="2">
    <mergeCell ref="A1:E1"/>
    <mergeCell ref="C79:E79"/>
  </mergeCells>
  <printOptions/>
  <pageMargins left="1.1811023622047245" right="0.7874015748031497" top="0.5118110236220472" bottom="0.5118110236220472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37">
      <selection activeCell="G3" sqref="G3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4.375" style="0" customWidth="1"/>
    <col min="4" max="4" width="11.25390625" style="0" customWidth="1"/>
    <col min="5" max="5" width="14.25390625" style="0" customWidth="1"/>
    <col min="6" max="6" width="12.75390625" style="0" bestFit="1" customWidth="1"/>
  </cols>
  <sheetData>
    <row r="1" spans="1:5" ht="18">
      <c r="A1" s="246" t="s">
        <v>303</v>
      </c>
      <c r="B1" s="246"/>
      <c r="C1" s="246"/>
      <c r="D1" s="246"/>
      <c r="E1" s="246"/>
    </row>
    <row r="2" spans="1:5" ht="9.75" customHeight="1" thickBot="1">
      <c r="A2" s="4"/>
      <c r="B2" s="4"/>
      <c r="C2" s="49"/>
      <c r="D2" s="4"/>
      <c r="E2" s="4" t="s">
        <v>0</v>
      </c>
    </row>
    <row r="3" spans="1:5" ht="108" customHeight="1">
      <c r="A3" s="34" t="s">
        <v>1</v>
      </c>
      <c r="B3" s="19" t="s">
        <v>245</v>
      </c>
      <c r="C3" s="32" t="s">
        <v>304</v>
      </c>
      <c r="D3" s="19" t="s">
        <v>246</v>
      </c>
      <c r="E3" s="36" t="s">
        <v>247</v>
      </c>
    </row>
    <row r="4" spans="1:5" ht="12.75">
      <c r="A4" s="13">
        <v>1</v>
      </c>
      <c r="B4" s="85">
        <v>2</v>
      </c>
      <c r="C4" s="50">
        <v>3</v>
      </c>
      <c r="D4" s="29">
        <v>4</v>
      </c>
      <c r="E4" s="51">
        <v>5</v>
      </c>
    </row>
    <row r="5" spans="1:5" ht="15.75" customHeight="1">
      <c r="A5" s="22" t="s">
        <v>2</v>
      </c>
      <c r="B5" s="11"/>
      <c r="C5" s="52"/>
      <c r="D5" s="25"/>
      <c r="E5" s="53"/>
    </row>
    <row r="6" spans="1:5" ht="15">
      <c r="A6" s="221" t="s">
        <v>45</v>
      </c>
      <c r="B6" s="214">
        <f>SUM(B7)</f>
        <v>10011600</v>
      </c>
      <c r="C6" s="214">
        <f>SUM(C7)</f>
        <v>6294999.06</v>
      </c>
      <c r="D6" s="222">
        <f aca="true" t="shared" si="0" ref="D6:D32">IF(B6=0,"   ",C6/B6*100)</f>
        <v>62.87705321826681</v>
      </c>
      <c r="E6" s="223">
        <f aca="true" t="shared" si="1" ref="E6:E54">C6-B6</f>
        <v>-3716600.9400000004</v>
      </c>
    </row>
    <row r="7" spans="1:5" ht="15">
      <c r="A7" s="224" t="s">
        <v>44</v>
      </c>
      <c r="B7" s="225">
        <f>Лист1!B9+Лист2!B7+Лист3!B7+Лист4!B8+Лист5!B8+Лист6!B8+Лист7!B8+Лист8!B8+Лист9!B8+Лист10!B8</f>
        <v>10011600</v>
      </c>
      <c r="C7" s="225">
        <f>Лист1!C9+Лист2!C7+Лист3!C7+Лист4!C8+Лист5!C8+Лист6!C8+Лист7!C8+Лист8!C8+Лист9!C8+Лист10!C8</f>
        <v>6294999.06</v>
      </c>
      <c r="D7" s="222">
        <f t="shared" si="0"/>
        <v>62.87705321826681</v>
      </c>
      <c r="E7" s="223">
        <f t="shared" si="1"/>
        <v>-3716600.9400000004</v>
      </c>
    </row>
    <row r="8" spans="1:5" ht="31.5" customHeight="1">
      <c r="A8" s="221" t="s">
        <v>144</v>
      </c>
      <c r="B8" s="214">
        <f>SUM(B9)</f>
        <v>5510000</v>
      </c>
      <c r="C8" s="214">
        <f>SUM(C9)</f>
        <v>3725198.98</v>
      </c>
      <c r="D8" s="222">
        <f t="shared" si="0"/>
        <v>67.607966969147</v>
      </c>
      <c r="E8" s="223">
        <f t="shared" si="1"/>
        <v>-1784801.02</v>
      </c>
    </row>
    <row r="9" spans="1:5" ht="30">
      <c r="A9" s="224" t="s">
        <v>145</v>
      </c>
      <c r="B9" s="225">
        <f>Лист1!B15+Лист2!B9+Лист3!B9+Лист4!B10+Лист5!B10+Лист6!B10+Лист7!B10+Лист8!B10+Лист9!B10+Лист10!B10</f>
        <v>5510000</v>
      </c>
      <c r="C9" s="225">
        <f>Лист1!C15+Лист2!C9+Лист3!C9+Лист4!C10+Лист5!C10+Лист6!C10+Лист7!C10+Лист8!C10+Лист9!C10+Лист10!C10</f>
        <v>3725198.98</v>
      </c>
      <c r="D9" s="222">
        <f t="shared" si="0"/>
        <v>67.607966969147</v>
      </c>
      <c r="E9" s="223">
        <f t="shared" si="1"/>
        <v>-1784801.02</v>
      </c>
    </row>
    <row r="10" spans="1:5" ht="15">
      <c r="A10" s="224" t="s">
        <v>7</v>
      </c>
      <c r="B10" s="225">
        <f>B11</f>
        <v>1009400</v>
      </c>
      <c r="C10" s="225">
        <f>SUM(C11:C11)</f>
        <v>1601183.0400000003</v>
      </c>
      <c r="D10" s="222">
        <f t="shared" si="0"/>
        <v>158.62720824252034</v>
      </c>
      <c r="E10" s="223">
        <f t="shared" si="1"/>
        <v>591783.0400000003</v>
      </c>
    </row>
    <row r="11" spans="1:5" ht="15">
      <c r="A11" s="224" t="s">
        <v>26</v>
      </c>
      <c r="B11" s="225">
        <f>Лист1!B18+Лист2!B11+Лист3!B11+Лист4!B12+Лист5!B12+Лист6!B12+Лист7!B12+Лист8!B12+Лист9!B12+Лист10!B12</f>
        <v>1009400</v>
      </c>
      <c r="C11" s="225">
        <f>Лист1!C18+Лист2!C11+Лист3!C11+Лист4!C12+Лист5!C12+Лист6!C12+Лист7!C12+Лист8!C12+Лист9!C12+Лист10!C12</f>
        <v>1601183.0400000003</v>
      </c>
      <c r="D11" s="222">
        <f t="shared" si="0"/>
        <v>158.62720824252034</v>
      </c>
      <c r="E11" s="223">
        <f t="shared" si="1"/>
        <v>591783.0400000003</v>
      </c>
    </row>
    <row r="12" spans="1:5" ht="15">
      <c r="A12" s="224" t="s">
        <v>9</v>
      </c>
      <c r="B12" s="225">
        <f>SUM(B13:B14)</f>
        <v>8932600</v>
      </c>
      <c r="C12" s="225">
        <f>SUM(C13:C14)</f>
        <v>2661861.96</v>
      </c>
      <c r="D12" s="222">
        <f t="shared" si="0"/>
        <v>29.799408458903343</v>
      </c>
      <c r="E12" s="223">
        <f t="shared" si="1"/>
        <v>-6270738.04</v>
      </c>
    </row>
    <row r="13" spans="1:5" ht="15">
      <c r="A13" s="224" t="s">
        <v>27</v>
      </c>
      <c r="B13" s="225">
        <f>Лист1!B20+Лист2!B13+Лист3!B13+Лист4!B14+Лист5!B14+Лист6!B14+Лист7!B14+Лист8!B14+Лист9!B14+Лист10!B14</f>
        <v>2115000</v>
      </c>
      <c r="C13" s="225">
        <f>Лист1!C20+Лист2!C13+Лист3!C13+Лист4!C14+Лист5!C14+Лист6!C14+Лист7!C14+Лист8!C14+Лист9!C14+Лист10!C14</f>
        <v>571454.8899999999</v>
      </c>
      <c r="D13" s="222">
        <f t="shared" si="0"/>
        <v>27.01914373522458</v>
      </c>
      <c r="E13" s="223">
        <f t="shared" si="1"/>
        <v>-1543545.11</v>
      </c>
    </row>
    <row r="14" spans="1:5" ht="15">
      <c r="A14" s="224" t="s">
        <v>173</v>
      </c>
      <c r="B14" s="225">
        <f>Лист1!B21+Лист2!B14+Лист3!B14+Лист4!B15+Лист5!B15+Лист6!B15+Лист7!B15+Лист8!B15+Лист9!B15+Лист10!B15</f>
        <v>6817600</v>
      </c>
      <c r="C14" s="225">
        <f>Лист1!C21+Лист2!C14+Лист3!C14+Лист4!C15+Лист5!C15+Лист6!C15+Лист7!C15+Лист8!C15+Лист9!C15+Лист10!C15</f>
        <v>2090407.07</v>
      </c>
      <c r="D14" s="222">
        <f t="shared" si="0"/>
        <v>30.661920177188456</v>
      </c>
      <c r="E14" s="223">
        <f t="shared" si="1"/>
        <v>-4727192.93</v>
      </c>
    </row>
    <row r="15" spans="1:5" ht="15">
      <c r="A15" s="224" t="s">
        <v>174</v>
      </c>
      <c r="B15" s="225">
        <f>Лист1!B22+Лист2!B15+Лист3!B15+Лист4!B16+Лист5!B16+Лист6!B16+Лист7!B16+Лист8!B16+Лист9!B16+Лист10!B16</f>
        <v>1830200</v>
      </c>
      <c r="C15" s="225">
        <f>Лист1!C22+Лист2!C15+Лист3!C15+Лист4!C16+Лист5!C16+Лист6!C16+Лист7!C16+Лист8!C16+Лист9!C16+Лист10!C16</f>
        <v>1124592.64</v>
      </c>
      <c r="D15" s="222">
        <f t="shared" si="0"/>
        <v>61.44643426947874</v>
      </c>
      <c r="E15" s="223">
        <f t="shared" si="1"/>
        <v>-705607.3600000001</v>
      </c>
    </row>
    <row r="16" spans="1:5" ht="15">
      <c r="A16" s="224" t="s">
        <v>175</v>
      </c>
      <c r="B16" s="225">
        <f>Лист1!B23+Лист2!B16+Лист3!B16+Лист4!B17+Лист5!B17+Лист6!B17+Лист7!B17+Лист8!B17+Лист9!B17+Лист10!B17</f>
        <v>4987400</v>
      </c>
      <c r="C16" s="225">
        <f>Лист1!C23+Лист2!C16+Лист3!C16+Лист4!C17+Лист5!C17+Лист6!C17+Лист7!C17+Лист8!C17+Лист9!C17+Лист10!C17</f>
        <v>965814.43</v>
      </c>
      <c r="D16" s="222">
        <f t="shared" si="0"/>
        <v>19.365088623330795</v>
      </c>
      <c r="E16" s="223">
        <f t="shared" si="1"/>
        <v>-4021585.57</v>
      </c>
    </row>
    <row r="17" spans="1:5" ht="15">
      <c r="A17" s="224" t="s">
        <v>254</v>
      </c>
      <c r="B17" s="210">
        <f>Лист8!B18+Лист5!B18+Лист9!B18+Лист3!B17+Лист4!B18</f>
        <v>4000</v>
      </c>
      <c r="C17" s="210">
        <f>Лист8!C18+Лист5!C18+Лист9!C18+Лист3!C17+Лист4!C18</f>
        <v>19530</v>
      </c>
      <c r="D17" s="222">
        <f>IF(B17=0,"   ",C17/B17*100)</f>
        <v>488.25</v>
      </c>
      <c r="E17" s="223">
        <f>C17-B17</f>
        <v>15530</v>
      </c>
    </row>
    <row r="18" spans="1:5" ht="28.5" customHeight="1">
      <c r="A18" s="224" t="s">
        <v>94</v>
      </c>
      <c r="B18" s="210">
        <f>Лист1!B24+Лист2!B17+Лист3!B18+Лист4!B19+Лист5!B19+Лист6!B18+Лист7!B18+Лист8!B19+Лист9!B19+Лист10!B18</f>
        <v>0</v>
      </c>
      <c r="C18" s="210">
        <f>Лист1!C24+Лист2!C17+Лист3!C18+Лист4!C19+Лист5!C19+Лист6!C18+Лист7!C18+Лист8!C19+Лист9!C19+Лист10!C18</f>
        <v>51314.33</v>
      </c>
      <c r="D18" s="222" t="str">
        <f t="shared" si="0"/>
        <v>   </v>
      </c>
      <c r="E18" s="223">
        <f t="shared" si="1"/>
        <v>51314.33</v>
      </c>
    </row>
    <row r="19" spans="1:5" ht="46.5" customHeight="1">
      <c r="A19" s="224" t="s">
        <v>28</v>
      </c>
      <c r="B19" s="225">
        <f>SUM(B20:B23)</f>
        <v>5481600</v>
      </c>
      <c r="C19" s="225">
        <f>SUM(C20:C23)</f>
        <v>1818197.5</v>
      </c>
      <c r="D19" s="222">
        <f t="shared" si="0"/>
        <v>33.16910208698191</v>
      </c>
      <c r="E19" s="223">
        <f t="shared" si="1"/>
        <v>-3663402.5</v>
      </c>
    </row>
    <row r="20" spans="1:5" ht="15">
      <c r="A20" s="224" t="s">
        <v>164</v>
      </c>
      <c r="B20" s="225">
        <f>Лист7!B20</f>
        <v>872000</v>
      </c>
      <c r="C20" s="225">
        <f>Лист7!C20</f>
        <v>859181.67</v>
      </c>
      <c r="D20" s="222">
        <f t="shared" si="0"/>
        <v>98.53000802752294</v>
      </c>
      <c r="E20" s="223">
        <f t="shared" si="1"/>
        <v>-12818.329999999958</v>
      </c>
    </row>
    <row r="21" spans="1:5" ht="15">
      <c r="A21" s="224" t="s">
        <v>146</v>
      </c>
      <c r="B21" s="225">
        <f>Лист1!B26+Лист2!B22+Лист3!B20+Лист4!B21+Лист5!B21+Лист6!B20+Лист7!B21+Лист8!B21+Лист9!B22+Лист10!B21</f>
        <v>2451300</v>
      </c>
      <c r="C21" s="225">
        <f>Лист1!C26+Лист2!C22+Лист3!C20+Лист4!C21+Лист5!C21+Лист6!C20+Лист7!C21+Лист8!C21+Лист9!C22+Лист10!C21</f>
        <v>413734.55999999994</v>
      </c>
      <c r="D21" s="222">
        <f t="shared" si="0"/>
        <v>16.878169134744827</v>
      </c>
      <c r="E21" s="223">
        <f t="shared" si="1"/>
        <v>-2037565.44</v>
      </c>
    </row>
    <row r="22" spans="1:5" ht="33" customHeight="1">
      <c r="A22" s="224" t="s">
        <v>30</v>
      </c>
      <c r="B22" s="225">
        <f>Лист1!B27+Лист2!B23+Лист3!B21+Лист4!B22+Лист5!B22+Лист6!B21+Лист7!B22+Лист8!B22+Лист9!B23+Лист10!B20</f>
        <v>1168300</v>
      </c>
      <c r="C22" s="225">
        <f>Лист1!C27+Лист2!C23+Лист3!C21+Лист4!C22+Лист5!C22+Лист6!C21+Лист7!C22+Лист8!C22+Лист9!C23+Лист10!C20</f>
        <v>91543.89</v>
      </c>
      <c r="D22" s="222">
        <f t="shared" si="0"/>
        <v>7.835649233929641</v>
      </c>
      <c r="E22" s="223">
        <f t="shared" si="1"/>
        <v>-1076756.11</v>
      </c>
    </row>
    <row r="23" spans="1:5" ht="80.25" customHeight="1">
      <c r="A23" s="224" t="s">
        <v>260</v>
      </c>
      <c r="B23" s="225">
        <f>Лист7!B23+Лист9!B24</f>
        <v>990000</v>
      </c>
      <c r="C23" s="225">
        <f>Лист7!C23+Лист9!C24</f>
        <v>453737.38</v>
      </c>
      <c r="D23" s="222">
        <f>IF(B23=0,"   ",C23/B23*100)</f>
        <v>45.83205858585859</v>
      </c>
      <c r="E23" s="223">
        <f>C23-B23</f>
        <v>-536262.62</v>
      </c>
    </row>
    <row r="24" spans="1:5" ht="30.75" customHeight="1">
      <c r="A24" s="224" t="s">
        <v>83</v>
      </c>
      <c r="B24" s="225">
        <f>SUM(B26,B25)</f>
        <v>0</v>
      </c>
      <c r="C24" s="225">
        <f>SUM(C26,C25)</f>
        <v>23023.6</v>
      </c>
      <c r="D24" s="222" t="str">
        <f t="shared" si="0"/>
        <v>   </v>
      </c>
      <c r="E24" s="223">
        <f t="shared" si="1"/>
        <v>23023.6</v>
      </c>
    </row>
    <row r="25" spans="1:5" ht="16.5" customHeight="1">
      <c r="A25" s="224" t="s">
        <v>204</v>
      </c>
      <c r="B25" s="225">
        <f>Лист2!B25</f>
        <v>0</v>
      </c>
      <c r="C25" s="225">
        <f>Лист2!C25</f>
        <v>0</v>
      </c>
      <c r="D25" s="222"/>
      <c r="E25" s="223">
        <f t="shared" si="1"/>
        <v>0</v>
      </c>
    </row>
    <row r="26" spans="1:5" ht="44.25" customHeight="1">
      <c r="A26" s="224" t="s">
        <v>84</v>
      </c>
      <c r="B26" s="225">
        <f>Лист4!B23+Лист9!B25</f>
        <v>0</v>
      </c>
      <c r="C26" s="225">
        <f>Лист4!C23+Лист9!C25+Лист7!C24</f>
        <v>23023.6</v>
      </c>
      <c r="D26" s="222" t="str">
        <f t="shared" si="0"/>
        <v>   </v>
      </c>
      <c r="E26" s="223">
        <f t="shared" si="1"/>
        <v>23023.6</v>
      </c>
    </row>
    <row r="27" spans="1:5" ht="31.5" customHeight="1">
      <c r="A27" s="224" t="s">
        <v>76</v>
      </c>
      <c r="B27" s="225">
        <f>SUM(B29+B28+B30)</f>
        <v>825225.9199999999</v>
      </c>
      <c r="C27" s="225">
        <f>SUM(C29+C28+C30)</f>
        <v>1017424.1299999999</v>
      </c>
      <c r="D27" s="222">
        <f t="shared" si="0"/>
        <v>123.2903748345665</v>
      </c>
      <c r="E27" s="223">
        <f t="shared" si="1"/>
        <v>192198.20999999996</v>
      </c>
    </row>
    <row r="28" spans="1:5" ht="30.75" customHeight="1">
      <c r="A28" s="224" t="s">
        <v>139</v>
      </c>
      <c r="B28" s="225">
        <f>Лист1!B30+Лист5!B25+Лист9!B27+Лист7!B26+Лист2!B19+Лист3!B25</f>
        <v>503325.92</v>
      </c>
      <c r="C28" s="225">
        <f>Лист1!C30+Лист5!C25+Лист9!C27+Лист7!C26+Лист2!C19+Лист3!C25</f>
        <v>573111.19</v>
      </c>
      <c r="D28" s="222">
        <f t="shared" si="0"/>
        <v>113.86482738659673</v>
      </c>
      <c r="E28" s="223">
        <f t="shared" si="1"/>
        <v>69785.26999999996</v>
      </c>
    </row>
    <row r="29" spans="1:5" ht="27.75" customHeight="1">
      <c r="A29" s="224" t="s">
        <v>183</v>
      </c>
      <c r="B29" s="225">
        <f>Лист7!B27</f>
        <v>262800</v>
      </c>
      <c r="C29" s="225">
        <f>Лист7!C27</f>
        <v>284709.69</v>
      </c>
      <c r="D29" s="222">
        <f t="shared" si="0"/>
        <v>108.3370205479452</v>
      </c>
      <c r="E29" s="223">
        <f t="shared" si="1"/>
        <v>21909.690000000002</v>
      </c>
    </row>
    <row r="30" spans="1:5" ht="46.5" customHeight="1">
      <c r="A30" s="224" t="s">
        <v>184</v>
      </c>
      <c r="B30" s="225">
        <f>Лист1!B31+Лист2!B20+Лист3!B24+Лист4!B25+Лист6!B24+Лист8!B25+Лист9!B28+Лист10!B24</f>
        <v>59100</v>
      </c>
      <c r="C30" s="225">
        <f>Лист1!C31+Лист2!C20+Лист3!C24+Лист4!C25+Лист6!C24+Лист8!C25+Лист9!C28+Лист10!C24</f>
        <v>159603.25</v>
      </c>
      <c r="D30" s="222">
        <f t="shared" si="0"/>
        <v>270.0562605752961</v>
      </c>
      <c r="E30" s="223">
        <f t="shared" si="1"/>
        <v>100503.25</v>
      </c>
    </row>
    <row r="31" spans="1:5" ht="15">
      <c r="A31" s="224" t="s">
        <v>31</v>
      </c>
      <c r="B31" s="225">
        <f>Лист1!B32+Лист2!B26+Лист5!B28+Лист7!B28</f>
        <v>5100</v>
      </c>
      <c r="C31" s="225">
        <f>Лист1!C32+Лист2!C26+Лист5!C28+Лист7!C28</f>
        <v>5100</v>
      </c>
      <c r="D31" s="222">
        <f t="shared" si="0"/>
        <v>100</v>
      </c>
      <c r="E31" s="223">
        <f t="shared" si="1"/>
        <v>0</v>
      </c>
    </row>
    <row r="32" spans="1:5" ht="15">
      <c r="A32" s="224" t="s">
        <v>32</v>
      </c>
      <c r="B32" s="225">
        <f>B33+B34</f>
        <v>0</v>
      </c>
      <c r="C32" s="225">
        <f>C33+C34</f>
        <v>-73108</v>
      </c>
      <c r="D32" s="222" t="str">
        <f t="shared" si="0"/>
        <v>   </v>
      </c>
      <c r="E32" s="223">
        <f t="shared" si="1"/>
        <v>-73108</v>
      </c>
    </row>
    <row r="33" spans="1:5" ht="15">
      <c r="A33" s="224" t="s">
        <v>46</v>
      </c>
      <c r="B33" s="225">
        <v>0</v>
      </c>
      <c r="C33" s="225">
        <f>Лист1!C36+Лист2!C28+Лист4!C27+Лист6!C26+Лист7!C30+Лист8!C27+Лист9!C31+Лист3!C27+Лист10!C26</f>
        <v>-73108</v>
      </c>
      <c r="D33" s="222"/>
      <c r="E33" s="223">
        <f t="shared" si="1"/>
        <v>-73108</v>
      </c>
    </row>
    <row r="34" spans="1:5" ht="15">
      <c r="A34" s="224" t="s">
        <v>50</v>
      </c>
      <c r="B34" s="225">
        <f>Лист1!B37+Лист2!B29+Лист3!B28+Лист4!B28+Лист5!B27+Лист6!B27+Лист7!B31+Лист8!B28+Лист9!B32+Лист10!B27</f>
        <v>0</v>
      </c>
      <c r="C34" s="225">
        <f>Лист1!C37+Лист2!C29+Лист3!C28+Лист4!C28+Лист5!C27+Лист6!C27+Лист7!C31+Лист8!C28+Лист9!C32+Лист10!C27</f>
        <v>0</v>
      </c>
      <c r="D34" s="222" t="str">
        <f>IF(B34=0,"   ",C34/B34*100)</f>
        <v>   </v>
      </c>
      <c r="E34" s="223">
        <f t="shared" si="1"/>
        <v>0</v>
      </c>
    </row>
    <row r="35" spans="1:5" ht="18" customHeight="1">
      <c r="A35" s="226" t="s">
        <v>10</v>
      </c>
      <c r="B35" s="227">
        <f>SUM(B6,B8,B10,B12,B18,B19,B24,B27,B32,+B31+B17)</f>
        <v>31779525.92</v>
      </c>
      <c r="C35" s="227">
        <f>SUM(C6,C8,C10,C12,C18,C19,C24,C27,C32,+C31+C17)</f>
        <v>17144724.599999998</v>
      </c>
      <c r="D35" s="228">
        <f>IF(B35=0,"   ",C35/B35*100)</f>
        <v>53.94896274777404</v>
      </c>
      <c r="E35" s="229">
        <f t="shared" si="1"/>
        <v>-14634801.320000004</v>
      </c>
    </row>
    <row r="36" spans="1:5" ht="33" customHeight="1">
      <c r="A36" s="221" t="s">
        <v>34</v>
      </c>
      <c r="B36" s="214">
        <f>Лист1!B42+Лист2!B32+Лист3!B32+Лист4!B32+Лист5!B31+Лист6!B30+Лист7!B34+Лист8!B32+Лист9!B35+Лист10!B30</f>
        <v>16333700</v>
      </c>
      <c r="C36" s="214">
        <f>Лист1!C42+Лист2!C32+Лист3!C32+Лист4!C32+Лист5!C31+Лист6!C30+Лист7!C34+Лист8!C32+Лист9!C35+Лист10!C30</f>
        <v>10878000</v>
      </c>
      <c r="D36" s="222">
        <f>IF(B36=0,"   ",C36/B36*100)</f>
        <v>66.59850493152194</v>
      </c>
      <c r="E36" s="223">
        <f t="shared" si="1"/>
        <v>-5455700</v>
      </c>
    </row>
    <row r="37" spans="1:5" ht="15">
      <c r="A37" s="230" t="s">
        <v>116</v>
      </c>
      <c r="B37" s="214">
        <f>B42+B41+B39+B40</f>
        <v>8142000</v>
      </c>
      <c r="C37" s="214">
        <f>C42+C41+C39+C40</f>
        <v>5465913.8</v>
      </c>
      <c r="D37" s="222">
        <f>IF(B37=0,"   ",C37/B37*100)</f>
        <v>67.13232375337755</v>
      </c>
      <c r="E37" s="223">
        <f t="shared" si="1"/>
        <v>-2676086.2</v>
      </c>
    </row>
    <row r="38" spans="1:5" ht="15">
      <c r="A38" s="221" t="s">
        <v>117</v>
      </c>
      <c r="B38" s="214"/>
      <c r="C38" s="214"/>
      <c r="D38" s="222"/>
      <c r="E38" s="223"/>
    </row>
    <row r="39" spans="1:5" ht="33" customHeight="1">
      <c r="A39" s="224" t="s">
        <v>206</v>
      </c>
      <c r="B39" s="225">
        <f>Лист2!B33</f>
        <v>0</v>
      </c>
      <c r="C39" s="225">
        <f>Лист2!C33</f>
        <v>0</v>
      </c>
      <c r="D39" s="222" t="str">
        <f>IF(B39=0,"   ",C39/B39*100)</f>
        <v>   </v>
      </c>
      <c r="E39" s="223">
        <f>C39-B39</f>
        <v>0</v>
      </c>
    </row>
    <row r="40" spans="1:5" ht="45" customHeight="1">
      <c r="A40" s="224" t="s">
        <v>211</v>
      </c>
      <c r="B40" s="209">
        <v>0</v>
      </c>
      <c r="C40" s="209">
        <v>0</v>
      </c>
      <c r="D40" s="211" t="str">
        <f>IF(B40=0,"   ",C40/B40)</f>
        <v>   </v>
      </c>
      <c r="E40" s="212">
        <f>C40-B40</f>
        <v>0</v>
      </c>
    </row>
    <row r="41" spans="1:5" ht="55.5" customHeight="1">
      <c r="A41" s="224" t="s">
        <v>142</v>
      </c>
      <c r="B41" s="225">
        <f>Лист7!B41</f>
        <v>1615800</v>
      </c>
      <c r="C41" s="225">
        <f>Лист7!C41</f>
        <v>1609536</v>
      </c>
      <c r="D41" s="222">
        <f>IF(B41=0,"   ",C41/B41*100)</f>
        <v>99.61232825844782</v>
      </c>
      <c r="E41" s="223">
        <f>C41-B41</f>
        <v>-6264</v>
      </c>
    </row>
    <row r="42" spans="1:5" ht="15">
      <c r="A42" s="224" t="s">
        <v>107</v>
      </c>
      <c r="B42" s="225">
        <f>B47+B45+B44+B46</f>
        <v>6526200</v>
      </c>
      <c r="C42" s="225">
        <f>C47+C45+C44+C46</f>
        <v>3856377.8</v>
      </c>
      <c r="D42" s="222">
        <f>IF(B42=0,"   ",C42/B42*100)</f>
        <v>59.09070822224265</v>
      </c>
      <c r="E42" s="223">
        <f>C42-B42</f>
        <v>-2669822.2</v>
      </c>
    </row>
    <row r="43" spans="1:5" ht="15">
      <c r="A43" s="224" t="s">
        <v>118</v>
      </c>
      <c r="B43" s="225"/>
      <c r="C43" s="225"/>
      <c r="D43" s="222"/>
      <c r="E43" s="223"/>
    </row>
    <row r="44" spans="1:5" ht="45">
      <c r="A44" s="224" t="s">
        <v>308</v>
      </c>
      <c r="B44" s="225">
        <f>Лист1!B50+Лист9!B41</f>
        <v>270000</v>
      </c>
      <c r="C44" s="225">
        <f>Лист1!C50+Лист9!C41</f>
        <v>270000</v>
      </c>
      <c r="D44" s="222">
        <f>IF(B44=0,"   ",C44/B44*100)</f>
        <v>100</v>
      </c>
      <c r="E44" s="223">
        <f>C44-B44</f>
        <v>0</v>
      </c>
    </row>
    <row r="45" spans="1:5" ht="51.75" customHeight="1">
      <c r="A45" s="224" t="s">
        <v>307</v>
      </c>
      <c r="B45" s="225">
        <f>Лист2!B41+Лист4!B39+Лист5!B38+Лист6!B37+Лист8!B40+Лист10!B36</f>
        <v>2123700</v>
      </c>
      <c r="C45" s="225">
        <f>Лист2!C41+Лист4!C39+Лист5!C38+Лист6!C37+Лист8!C40+Лист10!C36</f>
        <v>1735138.8</v>
      </c>
      <c r="D45" s="222">
        <f>IF(B45=0,"   ",C45/B45*100)</f>
        <v>81.70357395112305</v>
      </c>
      <c r="E45" s="223">
        <f>C45-B45</f>
        <v>-388561.19999999995</v>
      </c>
    </row>
    <row r="46" spans="1:5" ht="14.25" customHeight="1">
      <c r="A46" s="224" t="s">
        <v>228</v>
      </c>
      <c r="B46" s="225">
        <f>Лист7!B43</f>
        <v>42800</v>
      </c>
      <c r="C46" s="225">
        <f>Лист7!C43</f>
        <v>42800</v>
      </c>
      <c r="D46" s="222">
        <f>IF(B46=0,"   ",C46/B46*100)</f>
        <v>100</v>
      </c>
      <c r="E46" s="223">
        <f>C46-B46</f>
        <v>0</v>
      </c>
    </row>
    <row r="47" spans="1:5" s="69" customFormat="1" ht="40.5" customHeight="1">
      <c r="A47" s="224" t="s">
        <v>119</v>
      </c>
      <c r="B47" s="225">
        <f>Лист1!B51+Лист2!B42+Лист3!B40+Лист4!B40+Лист5!B37+Лист6!B36+Лист7!B44+Лист8!B41+Лист9!B42+Лист10!B37</f>
        <v>4089700</v>
      </c>
      <c r="C47" s="225">
        <f>Лист1!C51+Лист2!C42+Лист3!C40+Лист4!C40+Лист5!C37+Лист6!C36+Лист7!C44+Лист8!C41+Лист9!C42+Лист10!C37</f>
        <v>1808439</v>
      </c>
      <c r="D47" s="222">
        <f>IF(B47=0,"   ",C47/B47*100)</f>
        <v>44.21935594297871</v>
      </c>
      <c r="E47" s="223">
        <f>C47-B47</f>
        <v>-2281261</v>
      </c>
    </row>
    <row r="48" spans="1:5" s="69" customFormat="1" ht="15">
      <c r="A48" s="230" t="s">
        <v>19</v>
      </c>
      <c r="B48" s="225">
        <f>B50+B51</f>
        <v>1119200</v>
      </c>
      <c r="C48" s="225">
        <f>C50+C51</f>
        <v>901053.9</v>
      </c>
      <c r="D48" s="222">
        <f>IF(B48=0,"   ",C48/B48*100)</f>
        <v>80.50874731951394</v>
      </c>
      <c r="E48" s="223">
        <f>C48-B48</f>
        <v>-218146.09999999998</v>
      </c>
    </row>
    <row r="49" spans="1:5" ht="15">
      <c r="A49" s="221" t="s">
        <v>117</v>
      </c>
      <c r="B49" s="214"/>
      <c r="C49" s="214"/>
      <c r="D49" s="222"/>
      <c r="E49" s="223"/>
    </row>
    <row r="50" spans="1:5" ht="58.5" customHeight="1">
      <c r="A50" s="231" t="s">
        <v>51</v>
      </c>
      <c r="B50" s="232">
        <f>Лист1!B43+Лист2!B34+Лист3!B33+Лист4!B33+Лист5!B32+Лист6!B31+Лист7!B35+Лист8!B33+Лист9!B36+Лист10!B31</f>
        <v>1069000</v>
      </c>
      <c r="C50" s="232">
        <f>Лист1!C43+Лист2!C34+Лист3!C33+Лист4!C33+Лист5!C32+Лист6!C31+Лист7!C35+Лист8!C33+Лист9!C36+Лист10!C31</f>
        <v>890620</v>
      </c>
      <c r="D50" s="233">
        <f>IF(B50=0,"   ",C50/B50*100)</f>
        <v>83.3133769878391</v>
      </c>
      <c r="E50" s="234">
        <f>C50-B50</f>
        <v>-178380</v>
      </c>
    </row>
    <row r="51" spans="1:5" ht="45" customHeight="1">
      <c r="A51" s="231" t="s">
        <v>157</v>
      </c>
      <c r="B51" s="232">
        <f>Лист1!B44+Лист2!B35+Лист3!B34+Лист4!B34+Лист5!B33+Лист6!B32+Лист7!B36+Лист8!B34+Лист9!B37+Лист10!B32</f>
        <v>50200</v>
      </c>
      <c r="C51" s="232">
        <f>Лист1!C44+Лист2!C35+Лист3!C34+Лист4!C34+Лист5!C33+Лист6!C32+Лист7!C36+Лист8!C34+Лист9!C37+Лист10!C32</f>
        <v>10433.9</v>
      </c>
      <c r="D51" s="233">
        <f>IF(B51=0,"   ",C51/B51*100)</f>
        <v>20.784661354581672</v>
      </c>
      <c r="E51" s="234">
        <f>C51-B51</f>
        <v>-39766.1</v>
      </c>
    </row>
    <row r="52" spans="1:5" ht="27.75" customHeight="1">
      <c r="A52" s="231" t="s">
        <v>176</v>
      </c>
      <c r="B52" s="232">
        <f>Лист1!B45+Лист2!B36+Лист3!B35+Лист4!B35+Лист5!B34+Лист6!B33+Лист7!B37+Лист8!B35+Лист9!B38+Лист10!B33</f>
        <v>2000</v>
      </c>
      <c r="C52" s="232">
        <f>Лист1!C45+Лист2!C36+Лист3!C35+Лист4!C35+Лист5!C34+Лист6!C33+Лист7!C37+Лист8!C35+Лист9!C38+Лист10!C33</f>
        <v>1100</v>
      </c>
      <c r="D52" s="233">
        <f>IF(B52=0,"   ",C52/B52*100)</f>
        <v>55.00000000000001</v>
      </c>
      <c r="E52" s="234">
        <f>C52-B52</f>
        <v>-900</v>
      </c>
    </row>
    <row r="53" spans="1:5" ht="39.75" customHeight="1">
      <c r="A53" s="231" t="s">
        <v>177</v>
      </c>
      <c r="B53" s="232">
        <f>Лист1!B46+Лист2!B37+Лист3!B36+Лист4!B36+Лист5!B35+Лист6!B34+Лист7!B38+Лист8!B36+Лист9!B39+Лист10!B34</f>
        <v>48200</v>
      </c>
      <c r="C53" s="232">
        <f>Лист1!C46+Лист2!C37+Лист3!C36+Лист4!C36+Лист5!C35+Лист6!C34+Лист7!C38+Лист8!C36+Лист9!C39+Лист10!C34</f>
        <v>9333.900000000001</v>
      </c>
      <c r="D53" s="233">
        <f>IF(B53=0,"   ",C53/B53*100)</f>
        <v>19.364937759336105</v>
      </c>
      <c r="E53" s="234">
        <f>C53-B53</f>
        <v>-38866.1</v>
      </c>
    </row>
    <row r="54" spans="1:5" ht="15">
      <c r="A54" s="230" t="s">
        <v>120</v>
      </c>
      <c r="B54" s="225">
        <f>B56+B58+B57</f>
        <v>8210079.18</v>
      </c>
      <c r="C54" s="225">
        <f>C56+C58+C57</f>
        <v>8120079.18</v>
      </c>
      <c r="D54" s="222">
        <f>IF(B54=0,"   ",C54/B54*100)</f>
        <v>98.90378645532138</v>
      </c>
      <c r="E54" s="223">
        <f t="shared" si="1"/>
        <v>-90000</v>
      </c>
    </row>
    <row r="55" spans="1:5" ht="15">
      <c r="A55" s="221" t="s">
        <v>117</v>
      </c>
      <c r="B55" s="214"/>
      <c r="C55" s="214"/>
      <c r="D55" s="222"/>
      <c r="E55" s="223"/>
    </row>
    <row r="56" spans="1:5" ht="75" customHeight="1">
      <c r="A56" s="224" t="s">
        <v>90</v>
      </c>
      <c r="B56" s="232">
        <f>Лист1!B47+Лист2!B38+Лист3!B37+Лист4!B37+Лист5!B39+Лист6!B39+Лист7!B39+Лист8!B37+Лист9!B43+Лист10!B39</f>
        <v>1802611</v>
      </c>
      <c r="C56" s="232">
        <f>Лист1!C47+Лист2!C38+Лист3!C37+Лист4!C37+Лист5!C39+Лист6!C39+Лист7!C39+Лист8!C37+Лист9!C43+Лист10!C39</f>
        <v>1712611</v>
      </c>
      <c r="D56" s="222">
        <f aca="true" t="shared" si="2" ref="D56:D84">IF(B56=0,"   ",C56/B56*100)</f>
        <v>95.00724227245922</v>
      </c>
      <c r="E56" s="223">
        <f>C56-B56</f>
        <v>-90000</v>
      </c>
    </row>
    <row r="57" spans="1:5" ht="64.5" customHeight="1">
      <c r="A57" s="16" t="s">
        <v>306</v>
      </c>
      <c r="B57" s="209">
        <f>Лист7!B40</f>
        <v>6407468.18</v>
      </c>
      <c r="C57" s="209">
        <f>Лист7!C40</f>
        <v>6407468.18</v>
      </c>
      <c r="D57" s="222">
        <f>IF(B57=0,"   ",C57/B57*100)</f>
        <v>100</v>
      </c>
      <c r="E57" s="223">
        <f>C57-B57</f>
        <v>0</v>
      </c>
    </row>
    <row r="58" spans="1:5" ht="27.75" customHeight="1">
      <c r="A58" s="224" t="s">
        <v>186</v>
      </c>
      <c r="B58" s="232">
        <f>Лист1!B48+Лист2!B39+Лист3!B38+Лист6!B38+Лист8!B38+Лист10!B38</f>
        <v>0</v>
      </c>
      <c r="C58" s="232">
        <f>Лист1!C48+Лист2!C39+Лист3!C38+Лист6!C38+Лист8!C38+Лист10!C38</f>
        <v>0</v>
      </c>
      <c r="D58" s="222" t="str">
        <f t="shared" si="2"/>
        <v>   </v>
      </c>
      <c r="E58" s="223">
        <f>C58-B58</f>
        <v>0</v>
      </c>
    </row>
    <row r="59" spans="1:5" ht="21" customHeight="1">
      <c r="A59" s="226" t="s">
        <v>222</v>
      </c>
      <c r="B59" s="232">
        <f>Лист7!B45+Лист2!B43+Лист4!B41+Лист5!B40+Лист6!B40+Лист8!B42+Лист1!B52+Лист10!B40</f>
        <v>1306175.6</v>
      </c>
      <c r="C59" s="232">
        <f>Лист7!C45+Лист2!C43+Лист4!C41+Лист5!C40+Лист6!C40+Лист8!C42+Лист1!C52</f>
        <v>294896.35</v>
      </c>
      <c r="D59" s="222">
        <f>IF(B59=0,"   ",C59/B59*100)</f>
        <v>22.577083050701603</v>
      </c>
      <c r="E59" s="223">
        <f>C59-B59</f>
        <v>-1011279.2500000001</v>
      </c>
    </row>
    <row r="60" spans="1:5" ht="14.25">
      <c r="A60" s="226" t="s">
        <v>105</v>
      </c>
      <c r="B60" s="227">
        <f>B36+B37+B48+B54+B59</f>
        <v>35111154.78</v>
      </c>
      <c r="C60" s="227">
        <f>C36+C37+C48+C54+C59</f>
        <v>25659943.23</v>
      </c>
      <c r="D60" s="228">
        <f t="shared" si="2"/>
        <v>73.08202589969044</v>
      </c>
      <c r="E60" s="229">
        <f aca="true" t="shared" si="3" ref="E60:E95">C60-B60</f>
        <v>-9451211.55</v>
      </c>
    </row>
    <row r="61" spans="1:5" ht="23.25" customHeight="1">
      <c r="A61" s="226" t="s">
        <v>11</v>
      </c>
      <c r="B61" s="227">
        <f>B35+B60</f>
        <v>66890680.7</v>
      </c>
      <c r="C61" s="227">
        <f>C35+C60</f>
        <v>42804667.83</v>
      </c>
      <c r="D61" s="228">
        <f t="shared" si="2"/>
        <v>63.991975237889896</v>
      </c>
      <c r="E61" s="229">
        <f t="shared" si="3"/>
        <v>-24086012.870000005</v>
      </c>
    </row>
    <row r="62" spans="1:5" ht="29.25" hidden="1">
      <c r="A62" s="226" t="s">
        <v>48</v>
      </c>
      <c r="B62" s="225"/>
      <c r="C62" s="225"/>
      <c r="D62" s="222" t="str">
        <f t="shared" si="2"/>
        <v>   </v>
      </c>
      <c r="E62" s="223">
        <f t="shared" si="3"/>
        <v>0</v>
      </c>
    </row>
    <row r="63" spans="1:5" ht="15">
      <c r="A63" s="235" t="s">
        <v>12</v>
      </c>
      <c r="B63" s="236"/>
      <c r="C63" s="237"/>
      <c r="D63" s="222" t="str">
        <f t="shared" si="2"/>
        <v>   </v>
      </c>
      <c r="E63" s="223"/>
    </row>
    <row r="64" spans="1:5" ht="15">
      <c r="A64" s="224" t="s">
        <v>35</v>
      </c>
      <c r="B64" s="225">
        <f>Лист1!B55+Лист2!B47+Лист3!B43+Лист4!B44+Лист5!B44+Лист6!B43+Лист7!B49+Лист8!B45+Лист9!B46+Лист10!B44</f>
        <v>13114699</v>
      </c>
      <c r="C64" s="225">
        <f>Лист1!C55+Лист2!C47+Лист3!C43+Лист4!C44+Лист5!C44+Лист6!C43+Лист7!C49+Лист8!C45+Лист9!C46+Лист10!C44</f>
        <v>7625928.129999999</v>
      </c>
      <c r="D64" s="222">
        <f t="shared" si="2"/>
        <v>58.147946285309324</v>
      </c>
      <c r="E64" s="223">
        <f t="shared" si="3"/>
        <v>-5488770.870000001</v>
      </c>
    </row>
    <row r="65" spans="1:5" ht="13.5" customHeight="1">
      <c r="A65" s="224" t="s">
        <v>36</v>
      </c>
      <c r="B65" s="225">
        <f>Лист1!B56+Лист2!B48+Лист3!B44+Лист4!B45+Лист5!B45+Лист6!B44+Лист7!B50+Лист8!B46+Лист9!B47+Лист10!B45</f>
        <v>12182475</v>
      </c>
      <c r="C65" s="225">
        <f>Лист1!C56+Лист2!C48+Лист3!C44+Лист4!C45+Лист5!C45+Лист6!C44+Лист7!C50+Лист8!C46+Лист9!C47+Лист10!C45</f>
        <v>7303780.129999999</v>
      </c>
      <c r="D65" s="222">
        <f t="shared" si="2"/>
        <v>59.95317150250666</v>
      </c>
      <c r="E65" s="223">
        <f t="shared" si="3"/>
        <v>-4878694.870000001</v>
      </c>
    </row>
    <row r="66" spans="1:5" ht="15">
      <c r="A66" s="224" t="s">
        <v>122</v>
      </c>
      <c r="B66" s="225">
        <f>Лист1!B57+Лист2!B49+Лист3!B45+Лист4!B46+Лист5!B46+Лист6!B45+Лист7!B51+Лист8!B47+Лист9!B48+Лист10!B46</f>
        <v>7968295</v>
      </c>
      <c r="C66" s="225">
        <f>Лист1!C57+Лист2!C49+Лист3!C45+Лист4!C46+Лист5!C46+Лист6!C45+Лист7!C51+Лист8!C47+Лист9!C48+Лист10!C46</f>
        <v>4936276.96</v>
      </c>
      <c r="D66" s="222">
        <f t="shared" si="2"/>
        <v>61.948973525704055</v>
      </c>
      <c r="E66" s="223">
        <f t="shared" si="3"/>
        <v>-3032018.04</v>
      </c>
    </row>
    <row r="67" spans="1:5" ht="15">
      <c r="A67" s="224" t="s">
        <v>96</v>
      </c>
      <c r="B67" s="225">
        <f>Лист1!B58+Лист2!B50+Лист3!B46+Лист4!B47+Лист5!B47+Лист6!B46+Лист7!B52+Лист8!B48+Лист9!B49+Лист10!B47</f>
        <v>372900</v>
      </c>
      <c r="C67" s="225">
        <f>Лист1!C58+Лист2!C50+Лист3!C46+Лист4!C47+Лист5!C47+Лист6!C46+Лист7!C52+Лист8!C48+Лист9!C49+Лист10!C47</f>
        <v>0</v>
      </c>
      <c r="D67" s="222">
        <f t="shared" si="2"/>
        <v>0</v>
      </c>
      <c r="E67" s="223">
        <f t="shared" si="3"/>
        <v>-372900</v>
      </c>
    </row>
    <row r="68" spans="1:5" ht="15">
      <c r="A68" s="224" t="s">
        <v>52</v>
      </c>
      <c r="B68" s="210">
        <f>B69+B71+B72+B70+B73</f>
        <v>559324</v>
      </c>
      <c r="C68" s="210">
        <f>C69+C71+C72+C70+C73</f>
        <v>322148</v>
      </c>
      <c r="D68" s="222">
        <f t="shared" si="2"/>
        <v>57.59595511724868</v>
      </c>
      <c r="E68" s="223">
        <f t="shared" si="3"/>
        <v>-237176</v>
      </c>
    </row>
    <row r="69" spans="1:5" ht="57.75" customHeight="1">
      <c r="A69" s="238" t="s">
        <v>166</v>
      </c>
      <c r="B69" s="225">
        <f>Лист7!B54+Лист1!B60+Лист2!B52+Лист3!B48+Лист4!B50+Лист5!B49+Лист6!B48+Лист8!B50+Лист9!B53+Лист10!B49</f>
        <v>23200</v>
      </c>
      <c r="C69" s="225">
        <f>Лист7!C54+Лист1!C60+Лист2!C52+Лист3!C48+Лист4!C50+Лист5!C49+Лист6!C48+Лист8!C50+Лист9!C53+Лист10!C49</f>
        <v>0</v>
      </c>
      <c r="D69" s="222">
        <f t="shared" si="2"/>
        <v>0</v>
      </c>
      <c r="E69" s="223">
        <f t="shared" si="3"/>
        <v>-23200</v>
      </c>
    </row>
    <row r="70" spans="1:5" ht="42.75" customHeight="1">
      <c r="A70" s="238" t="s">
        <v>207</v>
      </c>
      <c r="B70" s="225">
        <v>0</v>
      </c>
      <c r="C70" s="225">
        <f>Лист1!C61+Лист7!C55</f>
        <v>0</v>
      </c>
      <c r="D70" s="222" t="str">
        <f t="shared" si="2"/>
        <v>   </v>
      </c>
      <c r="E70" s="223">
        <f>C70-B70</f>
        <v>0</v>
      </c>
    </row>
    <row r="71" spans="1:5" ht="26.25" customHeight="1">
      <c r="A71" s="238" t="s">
        <v>310</v>
      </c>
      <c r="B71" s="225">
        <f>Лист1!B61+Лист5!B50</f>
        <v>332664</v>
      </c>
      <c r="C71" s="225">
        <f>Лист1!C61+Лист5!C50</f>
        <v>211664</v>
      </c>
      <c r="D71" s="222">
        <f t="shared" si="2"/>
        <v>63.626962941586704</v>
      </c>
      <c r="E71" s="223">
        <f>C71-B71</f>
        <v>-121000</v>
      </c>
    </row>
    <row r="72" spans="1:5" ht="61.5" customHeight="1">
      <c r="A72" s="238" t="s">
        <v>262</v>
      </c>
      <c r="B72" s="225">
        <f>Лист9!B52</f>
        <v>3460</v>
      </c>
      <c r="C72" s="225">
        <f>Лист9!C52</f>
        <v>3460</v>
      </c>
      <c r="D72" s="222">
        <f t="shared" si="2"/>
        <v>100</v>
      </c>
      <c r="E72" s="223">
        <f>C72-B72</f>
        <v>0</v>
      </c>
    </row>
    <row r="73" spans="1:5" ht="42" customHeight="1">
      <c r="A73" s="238" t="s">
        <v>253</v>
      </c>
      <c r="B73" s="225">
        <f>Лист7!B56</f>
        <v>200000</v>
      </c>
      <c r="C73" s="225">
        <f>Лист7!C56</f>
        <v>107024</v>
      </c>
      <c r="D73" s="225">
        <f>Лист7!D56</f>
        <v>53.512</v>
      </c>
      <c r="E73" s="223">
        <f>C73-B73</f>
        <v>-92976</v>
      </c>
    </row>
    <row r="74" spans="1:5" ht="15">
      <c r="A74" s="224" t="s">
        <v>49</v>
      </c>
      <c r="B74" s="210">
        <f>SUM(B75)</f>
        <v>1069000</v>
      </c>
      <c r="C74" s="210">
        <f>SUM(C75)</f>
        <v>669587.12</v>
      </c>
      <c r="D74" s="222">
        <f t="shared" si="2"/>
        <v>62.63677455565949</v>
      </c>
      <c r="E74" s="223">
        <f t="shared" si="3"/>
        <v>-399412.88</v>
      </c>
    </row>
    <row r="75" spans="1:5" ht="29.25" customHeight="1">
      <c r="A75" s="224" t="s">
        <v>108</v>
      </c>
      <c r="B75" s="225">
        <f>Лист1!B63+Лист2!B54+Лист3!B51+Лист4!B52+Лист5!B52+Лист6!B50+Лист7!B59+Лист8!B52+Лист9!B55+Лист10!B51</f>
        <v>1069000</v>
      </c>
      <c r="C75" s="225">
        <f>Лист1!C63+Лист2!C54+Лист3!C51+Лист4!C52+Лист5!C52+Лист6!C50+Лист7!C59+Лист8!C52+Лист9!C55+Лист10!C51</f>
        <v>669587.12</v>
      </c>
      <c r="D75" s="222">
        <f t="shared" si="2"/>
        <v>62.63677455565949</v>
      </c>
      <c r="E75" s="223">
        <f t="shared" si="3"/>
        <v>-399412.88</v>
      </c>
    </row>
    <row r="76" spans="1:5" ht="30">
      <c r="A76" s="224" t="s">
        <v>37</v>
      </c>
      <c r="B76" s="225">
        <f>Лист1!B64+Лист2!B55+Лист3!B52+Лист4!B53+Лист5!B53+Лист6!B51+Лист7!B60+Лист8!B53+Лист9!B56+Лист10!B52</f>
        <v>953200</v>
      </c>
      <c r="C76" s="225">
        <f>Лист1!C64+Лист2!C55+Лист3!C52+Лист4!C53+Лист5!C53+Лист6!C51+Лист7!C60+Лист8!C53+Лист9!C56+Лист10!C52</f>
        <v>589476.11</v>
      </c>
      <c r="D76" s="222">
        <f t="shared" si="2"/>
        <v>61.8418075954679</v>
      </c>
      <c r="E76" s="223">
        <f t="shared" si="3"/>
        <v>-363723.89</v>
      </c>
    </row>
    <row r="77" spans="1:5" ht="45" customHeight="1">
      <c r="A77" s="224" t="s">
        <v>87</v>
      </c>
      <c r="B77" s="210">
        <f>Лист7!B61</f>
        <v>875200</v>
      </c>
      <c r="C77" s="210">
        <f>Лист7!C61</f>
        <v>569076.11</v>
      </c>
      <c r="D77" s="222">
        <f t="shared" si="2"/>
        <v>65.02240744972578</v>
      </c>
      <c r="E77" s="223">
        <f t="shared" si="3"/>
        <v>-306123.89</v>
      </c>
    </row>
    <row r="78" spans="1:5" ht="18.75" customHeight="1">
      <c r="A78" s="224" t="s">
        <v>97</v>
      </c>
      <c r="B78" s="225">
        <f>Лист7!B62</f>
        <v>875200</v>
      </c>
      <c r="C78" s="225">
        <f>Лист7!C62</f>
        <v>569076.11</v>
      </c>
      <c r="D78" s="222">
        <f t="shared" si="2"/>
        <v>65.02240744972578</v>
      </c>
      <c r="E78" s="223">
        <f t="shared" si="3"/>
        <v>-306123.89</v>
      </c>
    </row>
    <row r="79" spans="1:5" ht="15.75" customHeight="1">
      <c r="A79" s="224" t="s">
        <v>122</v>
      </c>
      <c r="B79" s="225">
        <f>Лист7!B63</f>
        <v>652900</v>
      </c>
      <c r="C79" s="225">
        <f>Лист7!C63</f>
        <v>405932.52</v>
      </c>
      <c r="D79" s="222">
        <f t="shared" si="2"/>
        <v>62.17376627354878</v>
      </c>
      <c r="E79" s="223">
        <f t="shared" si="3"/>
        <v>-246967.47999999998</v>
      </c>
    </row>
    <row r="80" spans="1:5" ht="15">
      <c r="A80" s="224" t="s">
        <v>98</v>
      </c>
      <c r="B80" s="225">
        <f>Лист1!B65+Лист2!B56+Лист3!B53+Лист4!B54+Лист5!B54+Лист6!B52+Лист7!B64+Лист8!B54+Лист9!B57+Лист10!B53</f>
        <v>78000</v>
      </c>
      <c r="C80" s="225">
        <f>Лист1!C65+Лист2!C56+Лист3!C53+Лист4!C54+Лист5!C54+Лист6!C52+Лист7!C64+Лист8!C54+Лист9!C57+Лист10!C53</f>
        <v>20400</v>
      </c>
      <c r="D80" s="222">
        <f t="shared" si="2"/>
        <v>26.153846153846157</v>
      </c>
      <c r="E80" s="223">
        <f t="shared" si="3"/>
        <v>-57600</v>
      </c>
    </row>
    <row r="81" spans="1:5" ht="15">
      <c r="A81" s="224" t="s">
        <v>38</v>
      </c>
      <c r="B81" s="210">
        <f>B85+B82+B106</f>
        <v>11738119</v>
      </c>
      <c r="C81" s="210">
        <f>C85+C82+C106</f>
        <v>6841127.03</v>
      </c>
      <c r="D81" s="222">
        <f t="shared" si="2"/>
        <v>58.28128876526129</v>
      </c>
      <c r="E81" s="223">
        <f t="shared" si="3"/>
        <v>-4896991.97</v>
      </c>
    </row>
    <row r="82" spans="1:5" ht="21" customHeight="1">
      <c r="A82" s="239" t="s">
        <v>202</v>
      </c>
      <c r="B82" s="210">
        <f>B84+B83</f>
        <v>108200</v>
      </c>
      <c r="C82" s="210">
        <f>C84+C83</f>
        <v>22000</v>
      </c>
      <c r="D82" s="222">
        <f t="shared" si="2"/>
        <v>20.33271719038817</v>
      </c>
      <c r="E82" s="223">
        <f>C82-B82</f>
        <v>-86200</v>
      </c>
    </row>
    <row r="83" spans="1:5" ht="30" customHeight="1">
      <c r="A83" s="240" t="s">
        <v>185</v>
      </c>
      <c r="B83" s="210">
        <f>Лист10!B56+Лист7!B67+Лист2!B60+Лист6!B56+Лист1!B69+Лист3!B57+Лист4!B58+Лист5!B58+Лист8!B58+Лист9!B61</f>
        <v>60000</v>
      </c>
      <c r="C83" s="210">
        <f>Лист10!C56+Лист7!C67+Лист2!C60+Лист6!C56+Лист1!C69+Лист3!C57+Лист4!C58+Лист5!C58+Лист8!C58+Лист9!C61</f>
        <v>16814.5</v>
      </c>
      <c r="D83" s="222">
        <f t="shared" si="2"/>
        <v>28.024166666666666</v>
      </c>
      <c r="E83" s="223">
        <f>C83-B83</f>
        <v>-43185.5</v>
      </c>
    </row>
    <row r="84" spans="1:5" ht="30">
      <c r="A84" s="241" t="s">
        <v>179</v>
      </c>
      <c r="B84" s="210">
        <f>Лист1!B68+Лист2!B59+Лист3!B56+Лист4!B57+Лист5!B57+Лист6!B55+Лист7!B68+Лист8!B57+Лист9!B60+Лист10!B57</f>
        <v>48200</v>
      </c>
      <c r="C84" s="210">
        <f>Лист1!C68+Лист2!C59+Лист3!C56+Лист4!C57+Лист5!C57+Лист6!C55+Лист7!C68+Лист8!C57+Лист9!C60+Лист10!C57</f>
        <v>5185.5</v>
      </c>
      <c r="D84" s="222">
        <f t="shared" si="2"/>
        <v>10.758298755186722</v>
      </c>
      <c r="E84" s="223">
        <f>C84-B84</f>
        <v>-43014.5</v>
      </c>
    </row>
    <row r="85" spans="1:5" ht="15">
      <c r="A85" s="242" t="s">
        <v>134</v>
      </c>
      <c r="B85" s="210">
        <f>B86+B93+B95+B97+B96+B90+B91+B94+B100+B104+B99+B98+B92</f>
        <v>11445419</v>
      </c>
      <c r="C85" s="210">
        <f>C86+C93+C95+C97+C96+C90+C91+C94+C100+C104+C99+C98+C92</f>
        <v>6776627.03</v>
      </c>
      <c r="D85" s="222">
        <f aca="true" t="shared" si="4" ref="D85:D112">IF(B85=0,"   ",C85/B85*100)</f>
        <v>59.20820399847311</v>
      </c>
      <c r="E85" s="223">
        <f t="shared" si="3"/>
        <v>-4668791.97</v>
      </c>
    </row>
    <row r="86" spans="1:5" ht="30">
      <c r="A86" s="238" t="s">
        <v>267</v>
      </c>
      <c r="B86" s="210">
        <f>B88+B87+B89</f>
        <v>450000</v>
      </c>
      <c r="C86" s="210">
        <f>C88+C87+C89</f>
        <v>360000</v>
      </c>
      <c r="D86" s="222">
        <f>IF(B86=0,"   ",C86/B86*100)</f>
        <v>80</v>
      </c>
      <c r="E86" s="223">
        <f>C86-B86</f>
        <v>-90000</v>
      </c>
    </row>
    <row r="87" spans="1:5" ht="46.5" customHeight="1">
      <c r="A87" s="238" t="s">
        <v>225</v>
      </c>
      <c r="B87" s="210">
        <f>Лист1!B72</f>
        <v>270000</v>
      </c>
      <c r="C87" s="210">
        <f>Лист1!C72</f>
        <v>270000</v>
      </c>
      <c r="D87" s="222">
        <f>IF(B87=0,"   ",C87/B87*100)</f>
        <v>100</v>
      </c>
      <c r="E87" s="223">
        <f>C87-B87</f>
        <v>0</v>
      </c>
    </row>
    <row r="88" spans="1:5" ht="44.25" customHeight="1">
      <c r="A88" s="120" t="s">
        <v>268</v>
      </c>
      <c r="B88" s="210">
        <f>Лист1!B73</f>
        <v>90000</v>
      </c>
      <c r="C88" s="210">
        <f>Лист1!C73</f>
        <v>0</v>
      </c>
      <c r="D88" s="222">
        <f t="shared" si="4"/>
        <v>0</v>
      </c>
      <c r="E88" s="223">
        <f t="shared" si="3"/>
        <v>-90000</v>
      </c>
    </row>
    <row r="89" spans="1:5" ht="45.75" customHeight="1">
      <c r="A89" s="120" t="s">
        <v>281</v>
      </c>
      <c r="B89" s="210">
        <f>Лист1!B74</f>
        <v>90000</v>
      </c>
      <c r="C89" s="210">
        <f>Лист1!C74</f>
        <v>90000</v>
      </c>
      <c r="D89" s="222">
        <f t="shared" si="4"/>
        <v>100</v>
      </c>
      <c r="E89" s="223">
        <f t="shared" si="3"/>
        <v>0</v>
      </c>
    </row>
    <row r="90" spans="1:5" ht="27" customHeight="1">
      <c r="A90" s="240" t="s">
        <v>199</v>
      </c>
      <c r="B90" s="210">
        <f>Лист1!B77+Лист9!B65</f>
        <v>11500</v>
      </c>
      <c r="C90" s="210">
        <f>Лист1!C77+Лист9!C65</f>
        <v>0</v>
      </c>
      <c r="D90" s="222">
        <f t="shared" si="4"/>
        <v>0</v>
      </c>
      <c r="E90" s="223">
        <f t="shared" si="3"/>
        <v>-11500</v>
      </c>
    </row>
    <row r="91" spans="1:5" ht="27" customHeight="1">
      <c r="A91" s="243" t="s">
        <v>205</v>
      </c>
      <c r="B91" s="210">
        <f>Лист2!B62+Лист3!B60+Лист6!B59+Лист8!B61+Лист10!B59+Лист5!B60+Лист7!B74+Лист4!B60</f>
        <v>1420986</v>
      </c>
      <c r="C91" s="210">
        <f>Лист2!C62+Лист3!C60+Лист6!C59+Лист8!C61+Лист10!C59+Лист5!C60+Лист7!C74+Лист4!C60</f>
        <v>1018589.71</v>
      </c>
      <c r="D91" s="222">
        <f t="shared" si="4"/>
        <v>71.68189623261594</v>
      </c>
      <c r="E91" s="223">
        <f>C91-B91</f>
        <v>-402396.29000000004</v>
      </c>
    </row>
    <row r="92" spans="1:5" ht="27" customHeight="1">
      <c r="A92" s="240" t="s">
        <v>237</v>
      </c>
      <c r="B92" s="210">
        <f>Лист7!B75</f>
        <v>0</v>
      </c>
      <c r="C92" s="210">
        <f>Лист7!C75</f>
        <v>0</v>
      </c>
      <c r="D92" s="222" t="str">
        <f t="shared" si="4"/>
        <v>   </v>
      </c>
      <c r="E92" s="223">
        <f>C92-B92</f>
        <v>0</v>
      </c>
    </row>
    <row r="93" spans="1:5" ht="46.5" customHeight="1">
      <c r="A93" s="241" t="s">
        <v>135</v>
      </c>
      <c r="B93" s="210">
        <f>Лист1!B78+Лист2!B63+Лист3!B61+Лист4!B61+Лист5!B61+Лист6!B60+Лист7!B76+Лист8!B62+Лист9!B66+Лист10!B60</f>
        <v>4089700</v>
      </c>
      <c r="C93" s="210">
        <f>Лист1!C78+Лист2!C63+Лист3!C61+Лист4!C61+Лист5!C61+Лист6!C60+Лист7!C76+Лист8!C62+Лист9!C66+Лист10!C60</f>
        <v>1800638.92</v>
      </c>
      <c r="D93" s="222">
        <f t="shared" si="4"/>
        <v>44.028630950925496</v>
      </c>
      <c r="E93" s="223">
        <f t="shared" si="3"/>
        <v>-2289061.08</v>
      </c>
    </row>
    <row r="94" spans="1:5" ht="47.25" customHeight="1">
      <c r="A94" s="238" t="s">
        <v>192</v>
      </c>
      <c r="B94" s="210">
        <f>Лист3!B62</f>
        <v>0</v>
      </c>
      <c r="C94" s="210">
        <f>Лист3!C62</f>
        <v>0</v>
      </c>
      <c r="D94" s="222" t="str">
        <f t="shared" si="4"/>
        <v>   </v>
      </c>
      <c r="E94" s="223">
        <f>C94-B94</f>
        <v>0</v>
      </c>
    </row>
    <row r="95" spans="1:5" ht="45" customHeight="1">
      <c r="A95" s="238" t="s">
        <v>198</v>
      </c>
      <c r="B95" s="210">
        <f>Лист1!B79+Лист2!B64+Лист3!B63+Лист4!B62+Лист5!B62+Лист6!B61+Лист7!B77+Лист8!B63+Лист9!B67+Лист10!B61</f>
        <v>3615300</v>
      </c>
      <c r="C95" s="210">
        <f>Лист1!C79+Лист2!C64+Лист3!C63+Лист4!C62+Лист5!C62+Лист6!C61+Лист7!C77+Лист8!C63+Лист9!C67+Лист10!C61</f>
        <v>1809025</v>
      </c>
      <c r="D95" s="222">
        <f t="shared" si="4"/>
        <v>50.03803280502309</v>
      </c>
      <c r="E95" s="223">
        <f t="shared" si="3"/>
        <v>-1806275</v>
      </c>
    </row>
    <row r="96" spans="1:5" ht="42.75" customHeight="1">
      <c r="A96" s="238" t="s">
        <v>217</v>
      </c>
      <c r="B96" s="210">
        <f>Лист7!B78</f>
        <v>1615800</v>
      </c>
      <c r="C96" s="210">
        <f>Лист7!C78</f>
        <v>1609536</v>
      </c>
      <c r="D96" s="222">
        <f t="shared" si="4"/>
        <v>99.61232825844782</v>
      </c>
      <c r="E96" s="223">
        <f aca="true" t="shared" si="5" ref="E96:E149">C96-B96</f>
        <v>-6264</v>
      </c>
    </row>
    <row r="97" spans="1:5" ht="30.75" customHeight="1">
      <c r="A97" s="238" t="s">
        <v>181</v>
      </c>
      <c r="B97" s="210">
        <f>Лист7!B79</f>
        <v>179533</v>
      </c>
      <c r="C97" s="210">
        <f>Лист7!C79</f>
        <v>178837.4</v>
      </c>
      <c r="D97" s="222">
        <f t="shared" si="4"/>
        <v>99.61255033893491</v>
      </c>
      <c r="E97" s="223">
        <f t="shared" si="5"/>
        <v>-695.6000000000058</v>
      </c>
    </row>
    <row r="98" spans="1:5" ht="30.75" customHeight="1">
      <c r="A98" s="238" t="s">
        <v>238</v>
      </c>
      <c r="B98" s="210">
        <f>Лист7!B80</f>
        <v>0</v>
      </c>
      <c r="C98" s="210">
        <f>Лист7!C80</f>
        <v>0</v>
      </c>
      <c r="D98" s="222" t="str">
        <f t="shared" si="4"/>
        <v>   </v>
      </c>
      <c r="E98" s="223">
        <f t="shared" si="5"/>
        <v>0</v>
      </c>
    </row>
    <row r="99" spans="1:5" ht="30" customHeight="1">
      <c r="A99" s="238" t="s">
        <v>236</v>
      </c>
      <c r="B99" s="210">
        <v>0</v>
      </c>
      <c r="C99" s="210">
        <v>0</v>
      </c>
      <c r="D99" s="222" t="str">
        <f t="shared" si="4"/>
        <v>   </v>
      </c>
      <c r="E99" s="223">
        <f t="shared" si="5"/>
        <v>0</v>
      </c>
    </row>
    <row r="100" spans="1:5" ht="30.75" customHeight="1">
      <c r="A100" s="238" t="s">
        <v>215</v>
      </c>
      <c r="B100" s="214">
        <f>B101+B103+B102</f>
        <v>0</v>
      </c>
      <c r="C100" s="214">
        <f>C101+C103+C102</f>
        <v>0</v>
      </c>
      <c r="D100" s="211" t="str">
        <f>IF(B100=0,"   ",C100/B100)</f>
        <v>   </v>
      </c>
      <c r="E100" s="212">
        <f t="shared" si="5"/>
        <v>0</v>
      </c>
    </row>
    <row r="101" spans="1:5" ht="15">
      <c r="A101" s="238" t="s">
        <v>212</v>
      </c>
      <c r="B101" s="214">
        <f>Лист7!B83</f>
        <v>0</v>
      </c>
      <c r="C101" s="214">
        <f>Лист7!C83</f>
        <v>0</v>
      </c>
      <c r="D101" s="211" t="str">
        <f>IF(B101=0,"   ",C101/B101)</f>
        <v>   </v>
      </c>
      <c r="E101" s="212">
        <f t="shared" si="5"/>
        <v>0</v>
      </c>
    </row>
    <row r="102" spans="1:5" ht="15">
      <c r="A102" s="238" t="s">
        <v>213</v>
      </c>
      <c r="B102" s="214">
        <f>Лист7!B84</f>
        <v>0</v>
      </c>
      <c r="C102" s="214">
        <f>Лист7!C84</f>
        <v>0</v>
      </c>
      <c r="D102" s="211" t="str">
        <f>IF(B102=0,"   ",C102/B102)</f>
        <v>   </v>
      </c>
      <c r="E102" s="212">
        <f t="shared" si="5"/>
        <v>0</v>
      </c>
    </row>
    <row r="103" spans="1:5" ht="15">
      <c r="A103" s="241" t="s">
        <v>214</v>
      </c>
      <c r="B103" s="214">
        <f>Лист7!B85</f>
        <v>0</v>
      </c>
      <c r="C103" s="214">
        <f>Лист7!C85</f>
        <v>0</v>
      </c>
      <c r="D103" s="211" t="str">
        <f>IF(B103=0,"   ",C103/B103)</f>
        <v>   </v>
      </c>
      <c r="E103" s="212">
        <f t="shared" si="5"/>
        <v>0</v>
      </c>
    </row>
    <row r="104" spans="1:5" ht="30">
      <c r="A104" s="238" t="s">
        <v>219</v>
      </c>
      <c r="B104" s="214">
        <f>Лист7!B86</f>
        <v>62600</v>
      </c>
      <c r="C104" s="214">
        <f>Лист7!C86</f>
        <v>0</v>
      </c>
      <c r="D104" s="214">
        <f>Лист7!D86</f>
        <v>0</v>
      </c>
      <c r="E104" s="214">
        <f>Лист7!E86</f>
        <v>-62600</v>
      </c>
    </row>
    <row r="105" spans="1:5" ht="15">
      <c r="A105" s="238" t="s">
        <v>220</v>
      </c>
      <c r="B105" s="214">
        <f>Лист7!B87</f>
        <v>62600</v>
      </c>
      <c r="C105" s="214">
        <f>Лист7!C87</f>
        <v>0</v>
      </c>
      <c r="D105" s="214">
        <f>Лист7!D87</f>
        <v>0</v>
      </c>
      <c r="E105" s="214">
        <f>Лист7!E87</f>
        <v>-62600</v>
      </c>
    </row>
    <row r="106" spans="1:5" ht="18.75" customHeight="1">
      <c r="A106" s="242" t="s">
        <v>209</v>
      </c>
      <c r="B106" s="210">
        <f>B107+B108</f>
        <v>184500</v>
      </c>
      <c r="C106" s="210">
        <f>C107+C108</f>
        <v>42500</v>
      </c>
      <c r="D106" s="222">
        <f t="shared" si="4"/>
        <v>23.035230352303522</v>
      </c>
      <c r="E106" s="223">
        <f t="shared" si="5"/>
        <v>-142000</v>
      </c>
    </row>
    <row r="107" spans="1:5" ht="30" customHeight="1">
      <c r="A107" s="240" t="s">
        <v>210</v>
      </c>
      <c r="B107" s="210">
        <f>Лист2!B66+Лист3!B65+Лист1!B81</f>
        <v>129500</v>
      </c>
      <c r="C107" s="210">
        <f>Лист2!C66+Лист3!C65+Лист1!C81</f>
        <v>42500</v>
      </c>
      <c r="D107" s="222">
        <f t="shared" si="4"/>
        <v>32.818532818532816</v>
      </c>
      <c r="E107" s="223">
        <f>C107-B107</f>
        <v>-87000</v>
      </c>
    </row>
    <row r="108" spans="1:5" ht="46.5" customHeight="1">
      <c r="A108" s="87" t="s">
        <v>285</v>
      </c>
      <c r="B108" s="210">
        <f>Лист1!B82</f>
        <v>55000</v>
      </c>
      <c r="C108" s="210">
        <f>Лист1!C82</f>
        <v>0</v>
      </c>
      <c r="D108" s="222"/>
      <c r="E108" s="223"/>
    </row>
    <row r="109" spans="1:5" ht="15.75" customHeight="1">
      <c r="A109" s="224" t="s">
        <v>13</v>
      </c>
      <c r="B109" s="225">
        <f>SUM(B110,B113,B124,)</f>
        <v>29080747.7</v>
      </c>
      <c r="C109" s="225">
        <f>SUM(C110,C113,C124,)</f>
        <v>14216191.020000001</v>
      </c>
      <c r="D109" s="222">
        <f t="shared" si="4"/>
        <v>48.88523213589863</v>
      </c>
      <c r="E109" s="223">
        <f t="shared" si="5"/>
        <v>-14864556.679999998</v>
      </c>
    </row>
    <row r="110" spans="1:5" ht="14.25" customHeight="1">
      <c r="A110" s="224" t="s">
        <v>14</v>
      </c>
      <c r="B110" s="225">
        <f>SUM(B111:B112)</f>
        <v>1160000</v>
      </c>
      <c r="C110" s="225">
        <f>SUM(C111:C112)</f>
        <v>562817.87</v>
      </c>
      <c r="D110" s="222">
        <f t="shared" si="4"/>
        <v>48.51878189655172</v>
      </c>
      <c r="E110" s="223">
        <f t="shared" si="5"/>
        <v>-597182.13</v>
      </c>
    </row>
    <row r="111" spans="1:5" ht="14.25" customHeight="1">
      <c r="A111" s="224" t="s">
        <v>93</v>
      </c>
      <c r="B111" s="225">
        <f>Лист7!B92+Лист9!B70+Лист1!B87</f>
        <v>800000</v>
      </c>
      <c r="C111" s="225">
        <f>Лист7!C92+Лист9!C70+Лист1!C87</f>
        <v>203417.87</v>
      </c>
      <c r="D111" s="222">
        <f t="shared" si="4"/>
        <v>25.42723375</v>
      </c>
      <c r="E111" s="223">
        <f t="shared" si="5"/>
        <v>-596582.13</v>
      </c>
    </row>
    <row r="112" spans="1:5" ht="21.75" customHeight="1">
      <c r="A112" s="224" t="s">
        <v>216</v>
      </c>
      <c r="B112" s="225">
        <f>Лист7!B93</f>
        <v>360000</v>
      </c>
      <c r="C112" s="225">
        <f>Лист7!C93</f>
        <v>359400</v>
      </c>
      <c r="D112" s="222">
        <f t="shared" si="4"/>
        <v>99.83333333333333</v>
      </c>
      <c r="E112" s="223">
        <f>C112-B112</f>
        <v>-600</v>
      </c>
    </row>
    <row r="113" spans="1:5" ht="14.25" customHeight="1">
      <c r="A113" s="224" t="s">
        <v>70</v>
      </c>
      <c r="B113" s="225">
        <f>SUM(B114:B115,B119:B123)</f>
        <v>4861753.859999999</v>
      </c>
      <c r="C113" s="225">
        <f>SUM(C114:C115,C119:C123)</f>
        <v>2130971.78</v>
      </c>
      <c r="D113" s="222">
        <f aca="true" t="shared" si="6" ref="D113:D155">IF(B113=0,"   ",C113/B113*100)</f>
        <v>43.83133826524077</v>
      </c>
      <c r="E113" s="223">
        <f t="shared" si="5"/>
        <v>-2730782.0799999996</v>
      </c>
    </row>
    <row r="114" spans="1:5" ht="15">
      <c r="A114" s="224" t="s">
        <v>71</v>
      </c>
      <c r="B114" s="225">
        <f>Лист7!B99</f>
        <v>600000</v>
      </c>
      <c r="C114" s="225">
        <f>Лист7!C99</f>
        <v>250514.75</v>
      </c>
      <c r="D114" s="222">
        <f t="shared" si="6"/>
        <v>41.75245833333333</v>
      </c>
      <c r="E114" s="223">
        <f t="shared" si="5"/>
        <v>-349485.25</v>
      </c>
    </row>
    <row r="115" spans="1:5" ht="30">
      <c r="A115" s="238" t="s">
        <v>267</v>
      </c>
      <c r="B115" s="225">
        <f>SUM(B116:B118)</f>
        <v>3119075.6</v>
      </c>
      <c r="C115" s="225">
        <f>SUM(C116:C118)</f>
        <v>1009502.9</v>
      </c>
      <c r="D115" s="222">
        <f t="shared" si="6"/>
        <v>32.36545148184289</v>
      </c>
      <c r="E115" s="223">
        <f t="shared" si="5"/>
        <v>-2109572.7</v>
      </c>
    </row>
    <row r="116" spans="1:5" ht="44.25" customHeight="1">
      <c r="A116" s="238" t="s">
        <v>277</v>
      </c>
      <c r="B116" s="225">
        <f>Лист2!B71+Лист5!B66+Лист6!B65+Лист10!B65</f>
        <v>1621800</v>
      </c>
      <c r="C116" s="225">
        <f>Лист2!C71+Лист5!C66+Лист6!C65</f>
        <v>902197.8</v>
      </c>
      <c r="D116" s="222">
        <f aca="true" t="shared" si="7" ref="D116:D122">IF(B116=0,"   ",C116/B116*100)</f>
        <v>55.629411764705885</v>
      </c>
      <c r="E116" s="223">
        <f aca="true" t="shared" si="8" ref="E116:E122">C116-B116</f>
        <v>-719602.2</v>
      </c>
    </row>
    <row r="117" spans="1:5" ht="44.25" customHeight="1">
      <c r="A117" s="238" t="s">
        <v>278</v>
      </c>
      <c r="B117" s="225">
        <f>Лист2!B72+Лист5!B67+Лист6!B66+Лист10!B66</f>
        <v>918331.7</v>
      </c>
      <c r="C117" s="225">
        <f>Лист2!C72+Лист5!C67+Лист6!C66+Лист10!C66</f>
        <v>0</v>
      </c>
      <c r="D117" s="222">
        <f>IF(B117=0,"   ",C117/B117*100)</f>
        <v>0</v>
      </c>
      <c r="E117" s="223">
        <f>C117-B117</f>
        <v>-918331.7</v>
      </c>
    </row>
    <row r="118" spans="1:5" ht="44.25" customHeight="1">
      <c r="A118" s="238" t="s">
        <v>279</v>
      </c>
      <c r="B118" s="225">
        <f>Лист2!B73+Лист5!B68+Лист6!B67+Лист7!B98+Лист10!B67</f>
        <v>578943.9</v>
      </c>
      <c r="C118" s="225">
        <f>Лист2!C73+Лист5!C68+Лист6!C67+Лист7!C98+Лист10!C67</f>
        <v>107305.1</v>
      </c>
      <c r="D118" s="222">
        <f t="shared" si="7"/>
        <v>18.53462831200052</v>
      </c>
      <c r="E118" s="223">
        <f t="shared" si="8"/>
        <v>-471638.80000000005</v>
      </c>
    </row>
    <row r="119" spans="1:5" ht="57" customHeight="1">
      <c r="A119" s="224" t="s">
        <v>196</v>
      </c>
      <c r="B119" s="225">
        <f>Лист9!B72</f>
        <v>482470</v>
      </c>
      <c r="C119" s="225">
        <f>Лист9!C72</f>
        <v>482470</v>
      </c>
      <c r="D119" s="222">
        <f t="shared" si="7"/>
        <v>100</v>
      </c>
      <c r="E119" s="223">
        <f t="shared" si="8"/>
        <v>0</v>
      </c>
    </row>
    <row r="120" spans="1:5" ht="59.25" customHeight="1">
      <c r="A120" s="224" t="s">
        <v>263</v>
      </c>
      <c r="B120" s="225">
        <f>Лист9!B73</f>
        <v>18888.74</v>
      </c>
      <c r="C120" s="225">
        <f>Лист9!C73</f>
        <v>18888.74</v>
      </c>
      <c r="D120" s="222">
        <f t="shared" si="7"/>
        <v>100</v>
      </c>
      <c r="E120" s="223">
        <f t="shared" si="8"/>
        <v>0</v>
      </c>
    </row>
    <row r="121" spans="1:5" ht="33.75" customHeight="1">
      <c r="A121" s="224" t="s">
        <v>255</v>
      </c>
      <c r="B121" s="225">
        <f>Лист1!B90</f>
        <v>17293.6</v>
      </c>
      <c r="C121" s="225">
        <f>Лист1!C90</f>
        <v>17293.6</v>
      </c>
      <c r="D121" s="222">
        <f t="shared" si="7"/>
        <v>100</v>
      </c>
      <c r="E121" s="223">
        <f t="shared" si="8"/>
        <v>0</v>
      </c>
    </row>
    <row r="122" spans="1:5" ht="45">
      <c r="A122" s="224" t="s">
        <v>252</v>
      </c>
      <c r="B122" s="225">
        <f>Лист2!B69+Лист7!B95</f>
        <v>321000</v>
      </c>
      <c r="C122" s="225">
        <f>Лист2!C69+Лист7!C95</f>
        <v>109155.15</v>
      </c>
      <c r="D122" s="222">
        <f t="shared" si="7"/>
        <v>34.004719626168225</v>
      </c>
      <c r="E122" s="223">
        <f t="shared" si="8"/>
        <v>-211844.85</v>
      </c>
    </row>
    <row r="123" spans="1:5" ht="17.25" customHeight="1">
      <c r="A123" s="221" t="s">
        <v>171</v>
      </c>
      <c r="B123" s="225">
        <f>Лист7!B96+Лист9!B74+Лист1!B89</f>
        <v>303025.92</v>
      </c>
      <c r="C123" s="225">
        <f>Лист7!C96+Лист9!C74+Лист2!C69+Лист1!C89</f>
        <v>243146.64</v>
      </c>
      <c r="D123" s="222">
        <f t="shared" si="6"/>
        <v>80.23955178487702</v>
      </c>
      <c r="E123" s="223">
        <f t="shared" si="5"/>
        <v>-59879.27999999997</v>
      </c>
    </row>
    <row r="124" spans="1:5" ht="15">
      <c r="A124" s="224" t="s">
        <v>72</v>
      </c>
      <c r="B124" s="225">
        <f>B125+B128+B129+B130+B136+B127+B137+B141+B131+B126</f>
        <v>23058993.84</v>
      </c>
      <c r="C124" s="225">
        <f>C125+C128+C129+C130+C136+C127+C137+C141+C131+C126</f>
        <v>11522401.370000001</v>
      </c>
      <c r="D124" s="222">
        <f t="shared" si="6"/>
        <v>49.9692287094171</v>
      </c>
      <c r="E124" s="223">
        <f t="shared" si="5"/>
        <v>-11536592.469999999</v>
      </c>
    </row>
    <row r="125" spans="1:5" ht="15">
      <c r="A125" s="224" t="s">
        <v>60</v>
      </c>
      <c r="B125" s="225">
        <f>Лист1!B92+Лист2!B76+Лист3!B69+Лист4!B66+Лист5!B70+Лист6!B69+Лист7!B101+Лист8!B70+Лист9!B76+Лист10!B69</f>
        <v>7448851.26</v>
      </c>
      <c r="C125" s="225">
        <f>Лист1!C92+Лист2!C76+Лист3!C69+Лист4!C66+Лист5!C70+Лист6!C69+Лист7!C101+Лист8!C70+Лист9!C76+Лист10!C69</f>
        <v>3336686.04</v>
      </c>
      <c r="D125" s="222">
        <f t="shared" si="6"/>
        <v>44.79463911325301</v>
      </c>
      <c r="E125" s="223">
        <f t="shared" si="5"/>
        <v>-4112165.2199999997</v>
      </c>
    </row>
    <row r="126" spans="1:5" ht="25.5" customHeight="1">
      <c r="A126" s="16" t="s">
        <v>305</v>
      </c>
      <c r="B126" s="225">
        <f>Лист7!B102</f>
        <v>100000</v>
      </c>
      <c r="C126" s="225">
        <f>Лист7!C102</f>
        <v>0</v>
      </c>
      <c r="D126" s="222">
        <f>IF(B126=0,"   ",C126/B126*100)</f>
        <v>0</v>
      </c>
      <c r="E126" s="223">
        <f>C126-B126</f>
        <v>-100000</v>
      </c>
    </row>
    <row r="127" spans="1:5" ht="45">
      <c r="A127" s="224" t="s">
        <v>172</v>
      </c>
      <c r="B127" s="225">
        <f>Лист1!B93+Лист2!B77+Лист3!B71+Лист4!B72+Лист5!B72+Лист6!B72+Лист8!B71+Лист10!B70+Лист9!B77</f>
        <v>143000</v>
      </c>
      <c r="C127" s="225">
        <f>Лист1!C93+Лист2!C77+Лист3!C71+Лист4!C72+Лист5!C72+Лист6!C72+Лист8!C71+Лист10!C70+Лист9!C77</f>
        <v>0</v>
      </c>
      <c r="D127" s="222">
        <f t="shared" si="6"/>
        <v>0</v>
      </c>
      <c r="E127" s="223">
        <f t="shared" si="5"/>
        <v>-143000</v>
      </c>
    </row>
    <row r="128" spans="1:5" ht="15">
      <c r="A128" s="224" t="s">
        <v>73</v>
      </c>
      <c r="B128" s="225">
        <f>Лист7!B103</f>
        <v>250000</v>
      </c>
      <c r="C128" s="225">
        <f>Лист7!C103</f>
        <v>180000</v>
      </c>
      <c r="D128" s="222">
        <f t="shared" si="6"/>
        <v>72</v>
      </c>
      <c r="E128" s="223">
        <f t="shared" si="5"/>
        <v>-70000</v>
      </c>
    </row>
    <row r="129" spans="1:5" ht="15">
      <c r="A129" s="224" t="s">
        <v>74</v>
      </c>
      <c r="B129" s="225">
        <f>Лист7!B104</f>
        <v>993900</v>
      </c>
      <c r="C129" s="225">
        <f>Лист7!C104</f>
        <v>109800.49</v>
      </c>
      <c r="D129" s="222">
        <f t="shared" si="6"/>
        <v>11.0474383740819</v>
      </c>
      <c r="E129" s="223">
        <f t="shared" si="5"/>
        <v>-884099.51</v>
      </c>
    </row>
    <row r="130" spans="1:5" ht="15">
      <c r="A130" s="224" t="s">
        <v>75</v>
      </c>
      <c r="B130" s="225">
        <f>Лист1!B94+Лист3!B70+Лист4!B67+Лист5!B71+Лист7!B105+Лист8!B72+Лист9!B78+Лист10!B71+Лист6!B70+Лист2!B82</f>
        <v>6521897.4</v>
      </c>
      <c r="C130" s="225">
        <f>Лист1!C94+Лист3!C70+Лист4!C67+Лист5!C71+Лист7!C105+Лист8!C72+Лист9!C78+Лист10!C71+Лист6!C70+Лист2!C82</f>
        <v>3754489.64</v>
      </c>
      <c r="D130" s="222">
        <f t="shared" si="6"/>
        <v>57.567444099933255</v>
      </c>
      <c r="E130" s="223">
        <f t="shared" si="5"/>
        <v>-2767407.7600000002</v>
      </c>
    </row>
    <row r="131" spans="1:5" ht="30">
      <c r="A131" s="238" t="s">
        <v>267</v>
      </c>
      <c r="B131" s="225">
        <f>SUM(B132:B135)</f>
        <v>851800</v>
      </c>
      <c r="C131" s="225">
        <f>SUM(C132:C135)</f>
        <v>334846</v>
      </c>
      <c r="D131" s="222">
        <f>IF(B131=0,"   ",C131/B131*100)</f>
        <v>39.31040150270017</v>
      </c>
      <c r="E131" s="223">
        <f>C131-B131</f>
        <v>-516954</v>
      </c>
    </row>
    <row r="132" spans="1:5" ht="45">
      <c r="A132" s="238" t="s">
        <v>270</v>
      </c>
      <c r="B132" s="225">
        <f>Лист8!B74+Лист4!B69</f>
        <v>501900</v>
      </c>
      <c r="C132" s="225">
        <f>Лист8!C74+Лист4!C69</f>
        <v>264846</v>
      </c>
      <c r="D132" s="222">
        <f t="shared" si="6"/>
        <v>52.76867901972504</v>
      </c>
      <c r="E132" s="223">
        <f t="shared" si="5"/>
        <v>-237054</v>
      </c>
    </row>
    <row r="133" spans="1:5" ht="45">
      <c r="A133" s="238" t="s">
        <v>282</v>
      </c>
      <c r="B133" s="225">
        <v>0</v>
      </c>
      <c r="C133" s="225">
        <f>Лист2!C80+Лист4!C70</f>
        <v>0</v>
      </c>
      <c r="D133" s="222" t="str">
        <f t="shared" si="6"/>
        <v>   </v>
      </c>
      <c r="E133" s="223">
        <f t="shared" si="5"/>
        <v>0</v>
      </c>
    </row>
    <row r="134" spans="1:5" ht="45">
      <c r="A134" s="238" t="s">
        <v>283</v>
      </c>
      <c r="B134" s="225">
        <f>Лист4!B70+Лист8!B75</f>
        <v>209900</v>
      </c>
      <c r="C134" s="225">
        <f>Лист4!C70+Лист8!C75</f>
        <v>0</v>
      </c>
      <c r="D134" s="222">
        <f t="shared" si="6"/>
        <v>0</v>
      </c>
      <c r="E134" s="223">
        <f t="shared" si="5"/>
        <v>-209900</v>
      </c>
    </row>
    <row r="135" spans="1:5" ht="45">
      <c r="A135" s="238" t="s">
        <v>284</v>
      </c>
      <c r="B135" s="225">
        <f>Лист4!B71+Лист8!B76</f>
        <v>140000</v>
      </c>
      <c r="C135" s="225">
        <f>Лист4!C71+Лист8!C76</f>
        <v>70000</v>
      </c>
      <c r="D135" s="222">
        <f t="shared" si="6"/>
        <v>50</v>
      </c>
      <c r="E135" s="223">
        <f t="shared" si="5"/>
        <v>-70000</v>
      </c>
    </row>
    <row r="136" spans="1:5" ht="30.75" customHeight="1">
      <c r="A136" s="224" t="s">
        <v>131</v>
      </c>
      <c r="B136" s="210">
        <f>Лист10!B72+Лист7!B106+Лист2!B83+Лист6!B71+Лист1!B96+Лист3!B72+Лист5!B73+Лист8!B77+Лист9!B79</f>
        <v>139600</v>
      </c>
      <c r="C136" s="210">
        <f>Лист10!C72+Лист7!C106+Лист2!C83+Лист6!C71+Лист1!C96+Лист3!C72+Лист5!C73+Лист8!C77+Лист9!C79</f>
        <v>70411.38</v>
      </c>
      <c r="D136" s="222">
        <f t="shared" si="6"/>
        <v>50.437951289398285</v>
      </c>
      <c r="E136" s="223">
        <f t="shared" si="5"/>
        <v>-69188.62</v>
      </c>
    </row>
    <row r="137" spans="1:5" ht="33.75" customHeight="1">
      <c r="A137" s="238" t="s">
        <v>215</v>
      </c>
      <c r="B137" s="214">
        <f>B138+B140+B139</f>
        <v>6609945.18</v>
      </c>
      <c r="C137" s="214">
        <f>C138+C140+C139</f>
        <v>3736167.8200000003</v>
      </c>
      <c r="D137" s="211">
        <f>IF(B137=0,"   ",C137/B137)</f>
        <v>0.5652343125786711</v>
      </c>
      <c r="E137" s="212">
        <f t="shared" si="5"/>
        <v>-2873777.3599999994</v>
      </c>
    </row>
    <row r="138" spans="1:5" ht="15">
      <c r="A138" s="238" t="s">
        <v>212</v>
      </c>
      <c r="B138" s="214">
        <f>Лист7!B108</f>
        <v>6209299.06</v>
      </c>
      <c r="C138" s="214">
        <f>Лист7!C108</f>
        <v>3510707.89</v>
      </c>
      <c r="D138" s="211">
        <f>IF(B138=0,"   ",C138/B138)</f>
        <v>0.5653952009842477</v>
      </c>
      <c r="E138" s="212">
        <f t="shared" si="5"/>
        <v>-2698591.1699999995</v>
      </c>
    </row>
    <row r="139" spans="1:5" ht="15">
      <c r="A139" s="238" t="s">
        <v>213</v>
      </c>
      <c r="B139" s="214">
        <f>Лист7!B109</f>
        <v>198169.12</v>
      </c>
      <c r="C139" s="214">
        <f>Лист7!C109</f>
        <v>112043.87</v>
      </c>
      <c r="D139" s="211">
        <f>IF(B139=0,"   ",C139/B139)</f>
        <v>0.5653952038541625</v>
      </c>
      <c r="E139" s="212">
        <f t="shared" si="5"/>
        <v>-86125.25</v>
      </c>
    </row>
    <row r="140" spans="1:5" ht="15">
      <c r="A140" s="238" t="s">
        <v>243</v>
      </c>
      <c r="B140" s="214">
        <f>Лист7!B110</f>
        <v>202477</v>
      </c>
      <c r="C140" s="214">
        <f>Лист7!C110</f>
        <v>113416.06</v>
      </c>
      <c r="D140" s="211">
        <f>IF(B140=0,"   ",C140/B140)</f>
        <v>0.5601429298142505</v>
      </c>
      <c r="E140" s="212">
        <f t="shared" si="5"/>
        <v>-89060.94</v>
      </c>
    </row>
    <row r="141" spans="1:5" ht="30">
      <c r="A141" s="238" t="s">
        <v>240</v>
      </c>
      <c r="B141" s="214">
        <f>Лист7!B111</f>
        <v>0</v>
      </c>
      <c r="C141" s="214">
        <f>Лист7!C111</f>
        <v>0</v>
      </c>
      <c r="D141" s="211" t="str">
        <f>IF(B141=0,"   ",C141/B141)</f>
        <v>   </v>
      </c>
      <c r="E141" s="212">
        <f t="shared" si="5"/>
        <v>0</v>
      </c>
    </row>
    <row r="142" spans="1:5" ht="15">
      <c r="A142" s="224" t="s">
        <v>17</v>
      </c>
      <c r="B142" s="225">
        <f>Лист1!B97+Лист2!B84+Лист3!B73+Лист4!B73+Лист5!B74+Лист6!B73+Лист7!B112+Лист8!B78+Лист9!B80+Лист10!B73</f>
        <v>122000</v>
      </c>
      <c r="C142" s="225">
        <f>Лист1!C97+Лист2!C84+Лист3!C73+Лист4!C73+Лист5!C74+Лист6!C73+Лист7!C112+Лист8!C78+Лист9!C80+Лист10!C73</f>
        <v>0</v>
      </c>
      <c r="D142" s="222">
        <f t="shared" si="6"/>
        <v>0</v>
      </c>
      <c r="E142" s="223">
        <f t="shared" si="5"/>
        <v>-122000</v>
      </c>
    </row>
    <row r="143" spans="1:5" ht="30">
      <c r="A143" s="224" t="s">
        <v>41</v>
      </c>
      <c r="B143" s="214">
        <f>SUM(B144,)</f>
        <v>15511200</v>
      </c>
      <c r="C143" s="214">
        <f>C144</f>
        <v>10376999.280000001</v>
      </c>
      <c r="D143" s="222">
        <f t="shared" si="6"/>
        <v>66.9000417762649</v>
      </c>
      <c r="E143" s="223">
        <f t="shared" si="5"/>
        <v>-5134200.719999999</v>
      </c>
    </row>
    <row r="144" spans="1:5" ht="15">
      <c r="A144" s="224" t="s">
        <v>42</v>
      </c>
      <c r="B144" s="225">
        <f>Лист1!B99+Лист2!B86+Лист3!B75+Лист4!B75+Лист5!B76+Лист6!B75+Лист7!B114+Лист8!B80+Лист9!B82+Лист10!B75</f>
        <v>15511200</v>
      </c>
      <c r="C144" s="225">
        <f>Лист1!C99+Лист2!C86+Лист3!C75+Лист4!C75+Лист5!C76+Лист6!C75+Лист7!C114+Лист8!C80+Лист9!C82+Лист10!C75</f>
        <v>10376999.280000001</v>
      </c>
      <c r="D144" s="222">
        <f t="shared" si="6"/>
        <v>66.9000417762649</v>
      </c>
      <c r="E144" s="223">
        <f t="shared" si="5"/>
        <v>-5134200.719999999</v>
      </c>
    </row>
    <row r="145" spans="1:5" ht="32.25" customHeight="1">
      <c r="A145" s="224" t="s">
        <v>151</v>
      </c>
      <c r="B145" s="225">
        <f>Лист1!B99+Лист2!B87+Лист3!B76+Лист4!B75+Лист5!B76+Лист6!B75+Лист7!B115+Лист8!B80+Лист9!B82+Лист10!B75</f>
        <v>12661900</v>
      </c>
      <c r="C145" s="225">
        <f>Лист1!C99+Лист2!C87+Лист3!C75+Лист4!C75+Лист5!C76+Лист6!C75+Лист7!C115+Лист8!C80+Лист9!C82+Лист10!C75</f>
        <v>9388150</v>
      </c>
      <c r="D145" s="222">
        <f t="shared" si="6"/>
        <v>74.14487557159669</v>
      </c>
      <c r="E145" s="223">
        <f t="shared" si="5"/>
        <v>-3273750</v>
      </c>
    </row>
    <row r="146" spans="1:5" ht="25.5" customHeight="1">
      <c r="A146" s="224" t="s">
        <v>264</v>
      </c>
      <c r="B146" s="225">
        <f>Лист3!B77</f>
        <v>400000</v>
      </c>
      <c r="C146" s="225">
        <f>Лист2!C88</f>
        <v>0</v>
      </c>
      <c r="D146" s="222">
        <f t="shared" si="6"/>
        <v>0</v>
      </c>
      <c r="E146" s="223">
        <f t="shared" si="5"/>
        <v>-400000</v>
      </c>
    </row>
    <row r="147" spans="1:5" ht="21.75" customHeight="1">
      <c r="A147" s="224" t="s">
        <v>241</v>
      </c>
      <c r="B147" s="225">
        <f>Лист7!B116</f>
        <v>1238800</v>
      </c>
      <c r="C147" s="225">
        <f>Лист7!C116</f>
        <v>165300</v>
      </c>
      <c r="D147" s="222">
        <f t="shared" si="6"/>
        <v>13.34355828220859</v>
      </c>
      <c r="E147" s="223">
        <f t="shared" si="5"/>
        <v>-1073500</v>
      </c>
    </row>
    <row r="148" spans="1:5" ht="25.5" customHeight="1">
      <c r="A148" s="224" t="s">
        <v>152</v>
      </c>
      <c r="B148" s="225">
        <f>Лист7!B117</f>
        <v>1157000</v>
      </c>
      <c r="C148" s="225">
        <f>Лист7!C117</f>
        <v>770049.28</v>
      </c>
      <c r="D148" s="222">
        <f t="shared" si="6"/>
        <v>66.55568539325843</v>
      </c>
      <c r="E148" s="223">
        <f t="shared" si="5"/>
        <v>-386950.72</v>
      </c>
    </row>
    <row r="149" spans="1:5" ht="33.75" customHeight="1">
      <c r="A149" s="224" t="s">
        <v>242</v>
      </c>
      <c r="B149" s="225">
        <f>Лист7!B118</f>
        <v>10700</v>
      </c>
      <c r="C149" s="225">
        <f>Лист7!C118</f>
        <v>10700</v>
      </c>
      <c r="D149" s="222">
        <f t="shared" si="6"/>
        <v>100</v>
      </c>
      <c r="E149" s="223">
        <f t="shared" si="5"/>
        <v>0</v>
      </c>
    </row>
    <row r="150" spans="1:5" ht="30.75" customHeight="1">
      <c r="A150" s="224" t="s">
        <v>223</v>
      </c>
      <c r="B150" s="225">
        <f>Лист7!B119</f>
        <v>42800</v>
      </c>
      <c r="C150" s="225">
        <f>Лист7!C119</f>
        <v>42800</v>
      </c>
      <c r="D150" s="222">
        <f>IF(B150=0,"   ",C150/B150*100)</f>
        <v>100</v>
      </c>
      <c r="E150" s="223">
        <f aca="true" t="shared" si="9" ref="E150:E155">C150-B150</f>
        <v>0</v>
      </c>
    </row>
    <row r="151" spans="1:5" ht="15">
      <c r="A151" s="224" t="s">
        <v>125</v>
      </c>
      <c r="B151" s="225">
        <f>SUM(B152,)</f>
        <v>134000</v>
      </c>
      <c r="C151" s="225">
        <f>SUM(C152,)</f>
        <v>59385</v>
      </c>
      <c r="D151" s="222">
        <f t="shared" si="6"/>
        <v>44.31716417910448</v>
      </c>
      <c r="E151" s="223">
        <f t="shared" si="9"/>
        <v>-74615</v>
      </c>
    </row>
    <row r="152" spans="1:5" ht="15">
      <c r="A152" s="224" t="s">
        <v>126</v>
      </c>
      <c r="B152" s="225">
        <f>Лист1!B101+Лист2!B90+Лист3!B79+Лист4!B77+Лист5!B78+Лист6!B77+Лист7!B121+Лист8!B82+Лист9!B84+Лист10!B77</f>
        <v>134000</v>
      </c>
      <c r="C152" s="225">
        <f>Лист1!C101+Лист2!C90+Лист3!C79+Лист4!C77+Лист5!C78+Лист6!C77+Лист7!C121+Лист8!C82+Лист9!C84+Лист10!C77</f>
        <v>59385</v>
      </c>
      <c r="D152" s="222">
        <f t="shared" si="6"/>
        <v>44.31716417910448</v>
      </c>
      <c r="E152" s="223">
        <f t="shared" si="9"/>
        <v>-74615</v>
      </c>
    </row>
    <row r="153" spans="1:5" ht="30">
      <c r="A153" s="224" t="s">
        <v>153</v>
      </c>
      <c r="B153" s="225">
        <f>SUM(B154,)</f>
        <v>50000</v>
      </c>
      <c r="C153" s="225">
        <f>SUM(C154,)</f>
        <v>0</v>
      </c>
      <c r="D153" s="222">
        <f>IF(B153=0,"   ",C153/B153*100)</f>
        <v>0</v>
      </c>
      <c r="E153" s="223">
        <f t="shared" si="9"/>
        <v>-50000</v>
      </c>
    </row>
    <row r="154" spans="1:5" ht="30">
      <c r="A154" s="224" t="s">
        <v>154</v>
      </c>
      <c r="B154" s="225">
        <f>Лист7!B122</f>
        <v>50000</v>
      </c>
      <c r="C154" s="225">
        <f>Лист7!C122</f>
        <v>0</v>
      </c>
      <c r="D154" s="222">
        <f>IF(B154=0,"   ",C154/B154*100)</f>
        <v>0</v>
      </c>
      <c r="E154" s="223">
        <f t="shared" si="9"/>
        <v>-50000</v>
      </c>
    </row>
    <row r="155" spans="1:6" ht="25.5" customHeight="1">
      <c r="A155" s="226" t="s">
        <v>15</v>
      </c>
      <c r="B155" s="227">
        <f>B64+B74+B76+B81+B109+B142+B143+B153+B151</f>
        <v>71772965.7</v>
      </c>
      <c r="C155" s="227">
        <f>C64+C74+C76+C81+C109+C142+C143+C153+C151</f>
        <v>40378693.690000005</v>
      </c>
      <c r="D155" s="228">
        <f t="shared" si="6"/>
        <v>56.25891768047702</v>
      </c>
      <c r="E155" s="229">
        <f t="shared" si="9"/>
        <v>-31394272.009999998</v>
      </c>
      <c r="F155" s="218"/>
    </row>
    <row r="156" spans="1:5" s="69" customFormat="1" ht="23.25" customHeight="1">
      <c r="A156" s="220"/>
      <c r="B156" s="220"/>
      <c r="C156" s="247"/>
      <c r="D156" s="247"/>
      <c r="E156" s="247"/>
    </row>
    <row r="157" spans="1:5" s="69" customFormat="1" ht="12" customHeight="1">
      <c r="A157" s="92"/>
      <c r="B157" s="92"/>
      <c r="C157" s="248"/>
      <c r="D157" s="248"/>
      <c r="E157" s="248"/>
    </row>
    <row r="158" spans="1:5" ht="12.75">
      <c r="A158" s="7"/>
      <c r="B158" s="7"/>
      <c r="C158" s="54"/>
      <c r="D158" s="7"/>
      <c r="E158" s="55"/>
    </row>
    <row r="159" spans="1:5" ht="12.75">
      <c r="A159" s="7"/>
      <c r="B159" s="7"/>
      <c r="C159" s="54"/>
      <c r="D159" s="7"/>
      <c r="E159" s="55"/>
    </row>
    <row r="160" spans="1:5" ht="12.75">
      <c r="A160" s="7"/>
      <c r="B160" s="7"/>
      <c r="C160" s="54"/>
      <c r="D160" s="7"/>
      <c r="E160" s="55"/>
    </row>
    <row r="161" spans="1:5" ht="12.75">
      <c r="A161" s="7"/>
      <c r="B161" s="7"/>
      <c r="C161" s="54"/>
      <c r="D161" s="7"/>
      <c r="E161" s="55"/>
    </row>
  </sheetData>
  <sheetProtection/>
  <mergeCells count="3">
    <mergeCell ref="A1:E1"/>
    <mergeCell ref="C156:E156"/>
    <mergeCell ref="C157:E157"/>
  </mergeCells>
  <printOptions/>
  <pageMargins left="0.7874015748031497" right="0.7874015748031497" top="0.4724409448818898" bottom="0.31496062992125984" header="0.46" footer="0.3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22">
      <selection activeCell="A92" sqref="A92:E93"/>
    </sheetView>
  </sheetViews>
  <sheetFormatPr defaultColWidth="9.00390625" defaultRowHeight="12.75"/>
  <cols>
    <col min="1" max="1" width="112.125" style="0" customWidth="1"/>
    <col min="2" max="2" width="15.125" style="0" customWidth="1"/>
    <col min="3" max="3" width="16.875" style="0" customWidth="1"/>
    <col min="4" max="4" width="20.875" style="0" customWidth="1"/>
    <col min="5" max="5" width="16.00390625" style="0" customWidth="1"/>
  </cols>
  <sheetData>
    <row r="1" spans="1:5" ht="18">
      <c r="A1" s="246" t="s">
        <v>290</v>
      </c>
      <c r="B1" s="246"/>
      <c r="C1" s="246"/>
      <c r="D1" s="246"/>
      <c r="E1" s="246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245</v>
      </c>
      <c r="C3" s="32" t="s">
        <v>291</v>
      </c>
      <c r="D3" s="19" t="s">
        <v>248</v>
      </c>
      <c r="E3" s="36" t="s">
        <v>247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4">
        <f>SUM(B7)</f>
        <v>15600</v>
      </c>
      <c r="C6" s="24">
        <f>SUM(C7)</f>
        <v>9125.64</v>
      </c>
      <c r="D6" s="26">
        <f aca="true" t="shared" si="0" ref="D6:D90">IF(B6=0,"   ",C6/B6*100)</f>
        <v>58.497692307692304</v>
      </c>
      <c r="E6" s="45">
        <f aca="true" t="shared" si="1" ref="E6:E90">C6-B6</f>
        <v>-6474.360000000001</v>
      </c>
    </row>
    <row r="7" spans="1:5" ht="16.5" customHeight="1">
      <c r="A7" s="16" t="s">
        <v>44</v>
      </c>
      <c r="B7" s="25">
        <v>15600</v>
      </c>
      <c r="C7" s="27">
        <v>9125.64</v>
      </c>
      <c r="D7" s="26">
        <f t="shared" si="0"/>
        <v>58.497692307692304</v>
      </c>
      <c r="E7" s="45">
        <f t="shared" si="1"/>
        <v>-6474.360000000001</v>
      </c>
    </row>
    <row r="8" spans="1:5" ht="12.75" customHeight="1">
      <c r="A8" s="74" t="s">
        <v>144</v>
      </c>
      <c r="B8" s="24">
        <f>SUM(B9)</f>
        <v>623400</v>
      </c>
      <c r="C8" s="24">
        <f>SUM(C9)</f>
        <v>421448.34</v>
      </c>
      <c r="D8" s="26">
        <f t="shared" si="0"/>
        <v>67.60480269489895</v>
      </c>
      <c r="E8" s="45">
        <f t="shared" si="1"/>
        <v>-201951.65999999997</v>
      </c>
    </row>
    <row r="9" spans="1:5" ht="18.75" customHeight="1">
      <c r="A9" s="43" t="s">
        <v>145</v>
      </c>
      <c r="B9" s="25">
        <v>623400</v>
      </c>
      <c r="C9" s="27">
        <v>421448.34</v>
      </c>
      <c r="D9" s="26">
        <f t="shared" si="0"/>
        <v>67.60480269489895</v>
      </c>
      <c r="E9" s="45">
        <f t="shared" si="1"/>
        <v>-201951.65999999997</v>
      </c>
    </row>
    <row r="10" spans="1:5" ht="16.5" customHeight="1">
      <c r="A10" s="16" t="s">
        <v>7</v>
      </c>
      <c r="B10" s="25">
        <f>SUM(B11:B11)</f>
        <v>44900</v>
      </c>
      <c r="C10" s="25">
        <f>SUM(C11:C11)</f>
        <v>18093.9</v>
      </c>
      <c r="D10" s="26">
        <f t="shared" si="0"/>
        <v>40.29821826280624</v>
      </c>
      <c r="E10" s="45">
        <f t="shared" si="1"/>
        <v>-26806.1</v>
      </c>
    </row>
    <row r="11" spans="1:5" ht="14.25" customHeight="1">
      <c r="A11" s="16" t="s">
        <v>26</v>
      </c>
      <c r="B11" s="25">
        <v>44900</v>
      </c>
      <c r="C11" s="27">
        <v>18093.9</v>
      </c>
      <c r="D11" s="26">
        <f t="shared" si="0"/>
        <v>40.29821826280624</v>
      </c>
      <c r="E11" s="45">
        <f t="shared" si="1"/>
        <v>-26806.1</v>
      </c>
    </row>
    <row r="12" spans="1:5" ht="14.25" customHeight="1">
      <c r="A12" s="16" t="s">
        <v>9</v>
      </c>
      <c r="B12" s="25">
        <f>SUM(B13:B14)</f>
        <v>182000</v>
      </c>
      <c r="C12" s="25">
        <f>SUM(C13:C14)</f>
        <v>71831.29</v>
      </c>
      <c r="D12" s="26">
        <f t="shared" si="0"/>
        <v>39.46774175824175</v>
      </c>
      <c r="E12" s="45">
        <f t="shared" si="1"/>
        <v>-110168.71</v>
      </c>
    </row>
    <row r="13" spans="1:5" ht="12.75" customHeight="1">
      <c r="A13" s="16" t="s">
        <v>27</v>
      </c>
      <c r="B13" s="25">
        <v>27000</v>
      </c>
      <c r="C13" s="27">
        <v>21602.84</v>
      </c>
      <c r="D13" s="26">
        <f t="shared" si="0"/>
        <v>80.01051851851851</v>
      </c>
      <c r="E13" s="45">
        <f t="shared" si="1"/>
        <v>-5397.16</v>
      </c>
    </row>
    <row r="14" spans="1:5" ht="12.75">
      <c r="A14" s="43" t="s">
        <v>173</v>
      </c>
      <c r="B14" s="31">
        <f>SUM(B15:B16)</f>
        <v>155000</v>
      </c>
      <c r="C14" s="31">
        <f>SUM(C15:C16)</f>
        <v>50228.45</v>
      </c>
      <c r="D14" s="26">
        <f t="shared" si="0"/>
        <v>32.40545161290322</v>
      </c>
      <c r="E14" s="45">
        <f t="shared" si="1"/>
        <v>-104771.55</v>
      </c>
    </row>
    <row r="15" spans="1:5" ht="12.75">
      <c r="A15" s="43" t="s">
        <v>174</v>
      </c>
      <c r="B15" s="31">
        <v>5400</v>
      </c>
      <c r="C15" s="79">
        <v>2443.16</v>
      </c>
      <c r="D15" s="26">
        <f t="shared" si="0"/>
        <v>45.2437037037037</v>
      </c>
      <c r="E15" s="45">
        <f t="shared" si="1"/>
        <v>-2956.84</v>
      </c>
    </row>
    <row r="16" spans="1:5" ht="12.75">
      <c r="A16" s="43" t="s">
        <v>175</v>
      </c>
      <c r="B16" s="31">
        <v>149600</v>
      </c>
      <c r="C16" s="79">
        <v>47785.29</v>
      </c>
      <c r="D16" s="26">
        <f t="shared" si="0"/>
        <v>31.942038770053475</v>
      </c>
      <c r="E16" s="45">
        <f t="shared" si="1"/>
        <v>-101814.70999999999</v>
      </c>
    </row>
    <row r="17" spans="1:5" ht="18" customHeight="1">
      <c r="A17" s="16" t="s">
        <v>88</v>
      </c>
      <c r="B17" s="25">
        <v>0</v>
      </c>
      <c r="C17" s="27">
        <v>0</v>
      </c>
      <c r="D17" s="26" t="str">
        <f t="shared" si="0"/>
        <v>   </v>
      </c>
      <c r="E17" s="45">
        <f t="shared" si="1"/>
        <v>0</v>
      </c>
    </row>
    <row r="18" spans="1:5" ht="16.5" customHeight="1">
      <c r="A18" s="16" t="s">
        <v>78</v>
      </c>
      <c r="B18" s="24">
        <f>B20+B19</f>
        <v>0</v>
      </c>
      <c r="C18" s="24">
        <f>C20+C19</f>
        <v>0</v>
      </c>
      <c r="D18" s="26" t="str">
        <f t="shared" si="0"/>
        <v>   </v>
      </c>
      <c r="E18" s="45">
        <f t="shared" si="1"/>
        <v>0</v>
      </c>
    </row>
    <row r="19" spans="1:5" ht="16.5" customHeight="1">
      <c r="A19" s="175" t="s">
        <v>218</v>
      </c>
      <c r="B19" s="24">
        <v>0</v>
      </c>
      <c r="C19" s="24">
        <v>0</v>
      </c>
      <c r="D19" s="26" t="str">
        <f>IF(B19=0,"   ",C19/B19*100)</f>
        <v>   </v>
      </c>
      <c r="E19" s="45">
        <f>C19-B19</f>
        <v>0</v>
      </c>
    </row>
    <row r="20" spans="1:5" ht="22.5" customHeight="1">
      <c r="A20" s="16" t="s">
        <v>79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29.25" customHeight="1">
      <c r="A21" s="16" t="s">
        <v>28</v>
      </c>
      <c r="B21" s="25">
        <f>SUM(B22:B23)</f>
        <v>120900</v>
      </c>
      <c r="C21" s="24">
        <f>SUM(C22:C23)</f>
        <v>145482.94</v>
      </c>
      <c r="D21" s="26">
        <f t="shared" si="0"/>
        <v>120.33328370554177</v>
      </c>
      <c r="E21" s="45">
        <f t="shared" si="1"/>
        <v>24582.940000000002</v>
      </c>
    </row>
    <row r="22" spans="1:5" ht="15.75" customHeight="1">
      <c r="A22" s="43" t="s">
        <v>163</v>
      </c>
      <c r="B22" s="25">
        <v>110000</v>
      </c>
      <c r="C22" s="27">
        <v>145482.94</v>
      </c>
      <c r="D22" s="26">
        <f t="shared" si="0"/>
        <v>132.2572181818182</v>
      </c>
      <c r="E22" s="45">
        <f t="shared" si="1"/>
        <v>35482.94</v>
      </c>
    </row>
    <row r="23" spans="1:5" ht="15.75" customHeight="1">
      <c r="A23" s="16" t="s">
        <v>30</v>
      </c>
      <c r="B23" s="25">
        <v>10900</v>
      </c>
      <c r="C23" s="27">
        <v>0</v>
      </c>
      <c r="D23" s="26">
        <f t="shared" si="0"/>
        <v>0</v>
      </c>
      <c r="E23" s="45">
        <f t="shared" si="1"/>
        <v>-10900</v>
      </c>
    </row>
    <row r="24" spans="1:5" ht="18" customHeight="1">
      <c r="A24" s="16" t="s">
        <v>203</v>
      </c>
      <c r="B24" s="24">
        <f>SUM(B25)</f>
        <v>0</v>
      </c>
      <c r="C24" s="24">
        <f>SUM(C25)</f>
        <v>0</v>
      </c>
      <c r="D24" s="26" t="str">
        <f t="shared" si="0"/>
        <v>   </v>
      </c>
      <c r="E24" s="45">
        <f t="shared" si="1"/>
        <v>0</v>
      </c>
    </row>
    <row r="25" spans="1:5" ht="16.5" customHeight="1">
      <c r="A25" s="16" t="s">
        <v>204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31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6.5" customHeight="1">
      <c r="A27" s="16" t="s">
        <v>32</v>
      </c>
      <c r="B27" s="25">
        <f>SUM(B28:B29)</f>
        <v>0</v>
      </c>
      <c r="C27" s="25">
        <f>SUM(C28:C29)</f>
        <v>0</v>
      </c>
      <c r="D27" s="26" t="str">
        <f t="shared" si="0"/>
        <v>   </v>
      </c>
      <c r="E27" s="45">
        <f t="shared" si="1"/>
        <v>0</v>
      </c>
    </row>
    <row r="28" spans="1:5" ht="15.75" customHeight="1">
      <c r="A28" s="16" t="s">
        <v>106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s="9" customFormat="1" ht="15" customHeight="1">
      <c r="A29" s="16" t="s">
        <v>109</v>
      </c>
      <c r="B29" s="39">
        <v>0</v>
      </c>
      <c r="C29" s="40">
        <v>0</v>
      </c>
      <c r="D29" s="26" t="str">
        <f t="shared" si="0"/>
        <v>   </v>
      </c>
      <c r="E29" s="42">
        <f>C29-B29</f>
        <v>0</v>
      </c>
    </row>
    <row r="30" spans="1:5" ht="19.5" customHeight="1">
      <c r="A30" s="193" t="s">
        <v>10</v>
      </c>
      <c r="B30" s="46">
        <f>SUM(B6,B8,B10,B12,B17,B18,B21,B26,B27,B24)</f>
        <v>986800</v>
      </c>
      <c r="C30" s="46">
        <f>SUM(C6,C8,C10,C12,C17,C18,C21,C26,C27,C24)</f>
        <v>665982.1100000001</v>
      </c>
      <c r="D30" s="26">
        <f t="shared" si="0"/>
        <v>67.48906668017837</v>
      </c>
      <c r="E30" s="45">
        <f t="shared" si="1"/>
        <v>-320817.8899999999</v>
      </c>
    </row>
    <row r="31" spans="1:5" ht="19.5" customHeight="1">
      <c r="A31" s="201" t="s">
        <v>147</v>
      </c>
      <c r="B31" s="215">
        <f>SUM(B32:B35,B38:B40,B43)</f>
        <v>2171600</v>
      </c>
      <c r="C31" s="215">
        <f>SUM(C32:C35,C38:C40,C43)</f>
        <v>1298193.25</v>
      </c>
      <c r="D31" s="158">
        <f t="shared" si="0"/>
        <v>59.78049594768834</v>
      </c>
      <c r="E31" s="159">
        <f t="shared" si="1"/>
        <v>-873406.75</v>
      </c>
    </row>
    <row r="32" spans="1:5" ht="18.75" customHeight="1">
      <c r="A32" s="17" t="s">
        <v>34</v>
      </c>
      <c r="B32" s="24">
        <v>1089300</v>
      </c>
      <c r="C32" s="24">
        <v>725400</v>
      </c>
      <c r="D32" s="26">
        <f t="shared" si="0"/>
        <v>66.59322500688516</v>
      </c>
      <c r="E32" s="45">
        <f t="shared" si="1"/>
        <v>-363900</v>
      </c>
    </row>
    <row r="33" spans="1:5" ht="15.75" customHeight="1">
      <c r="A33" s="43" t="s">
        <v>155</v>
      </c>
      <c r="B33" s="25">
        <v>0</v>
      </c>
      <c r="C33" s="27">
        <v>0</v>
      </c>
      <c r="D33" s="26" t="str">
        <f t="shared" si="0"/>
        <v>   </v>
      </c>
      <c r="E33" s="45">
        <f t="shared" si="1"/>
        <v>0</v>
      </c>
    </row>
    <row r="34" spans="1:5" ht="35.25" customHeight="1">
      <c r="A34" s="150" t="s">
        <v>51</v>
      </c>
      <c r="B34" s="151">
        <v>71300</v>
      </c>
      <c r="C34" s="151">
        <v>54600</v>
      </c>
      <c r="D34" s="152">
        <f t="shared" si="0"/>
        <v>76.57784011220197</v>
      </c>
      <c r="E34" s="153">
        <f t="shared" si="1"/>
        <v>-16700</v>
      </c>
    </row>
    <row r="35" spans="1:5" ht="32.25" customHeight="1">
      <c r="A35" s="124" t="s">
        <v>157</v>
      </c>
      <c r="B35" s="151">
        <f>SUM(B36:B37)</f>
        <v>4100</v>
      </c>
      <c r="C35" s="151">
        <f>SUM(C36:C37)</f>
        <v>100</v>
      </c>
      <c r="D35" s="152">
        <f t="shared" si="0"/>
        <v>2.4390243902439024</v>
      </c>
      <c r="E35" s="153">
        <f t="shared" si="1"/>
        <v>-4000</v>
      </c>
    </row>
    <row r="36" spans="1:5" ht="15.75" customHeight="1">
      <c r="A36" s="124" t="s">
        <v>176</v>
      </c>
      <c r="B36" s="151">
        <v>100</v>
      </c>
      <c r="C36" s="151">
        <v>100</v>
      </c>
      <c r="D36" s="152">
        <f>IF(B36=0,"   ",C36/B36*100)</f>
        <v>100</v>
      </c>
      <c r="E36" s="153">
        <f>C36-B36</f>
        <v>0</v>
      </c>
    </row>
    <row r="37" spans="1:5" ht="24.75" customHeight="1">
      <c r="A37" s="124" t="s">
        <v>177</v>
      </c>
      <c r="B37" s="151">
        <v>4000</v>
      </c>
      <c r="C37" s="151">
        <v>0</v>
      </c>
      <c r="D37" s="152">
        <f>IF(B37=0,"   ",C37/B37*100)</f>
        <v>0</v>
      </c>
      <c r="E37" s="153">
        <f>C37-B37</f>
        <v>-4000</v>
      </c>
    </row>
    <row r="38" spans="1:5" ht="26.25" customHeight="1">
      <c r="A38" s="16" t="s">
        <v>104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8" customHeight="1">
      <c r="A39" s="16" t="s">
        <v>186</v>
      </c>
      <c r="B39" s="151">
        <v>0</v>
      </c>
      <c r="C39" s="151">
        <v>0</v>
      </c>
      <c r="D39" s="152" t="str">
        <f t="shared" si="0"/>
        <v>   </v>
      </c>
      <c r="E39" s="153">
        <f t="shared" si="1"/>
        <v>0</v>
      </c>
    </row>
    <row r="40" spans="1:5" ht="16.5" customHeight="1">
      <c r="A40" s="16" t="s">
        <v>80</v>
      </c>
      <c r="B40" s="25">
        <f>B42+B41</f>
        <v>777100</v>
      </c>
      <c r="C40" s="25">
        <f>C42+C41</f>
        <v>490502</v>
      </c>
      <c r="D40" s="26">
        <f t="shared" si="0"/>
        <v>63.11954703384378</v>
      </c>
      <c r="E40" s="45">
        <f t="shared" si="1"/>
        <v>-286598</v>
      </c>
    </row>
    <row r="41" spans="1:5" ht="15" customHeight="1">
      <c r="A41" s="56" t="s">
        <v>226</v>
      </c>
      <c r="B41" s="25">
        <v>331100</v>
      </c>
      <c r="C41" s="25">
        <v>331095</v>
      </c>
      <c r="D41" s="26">
        <f t="shared" si="0"/>
        <v>99.99848988221082</v>
      </c>
      <c r="E41" s="45">
        <f t="shared" si="1"/>
        <v>-5</v>
      </c>
    </row>
    <row r="42" spans="1:5" s="7" customFormat="1" ht="16.5" customHeight="1">
      <c r="A42" s="56" t="s">
        <v>110</v>
      </c>
      <c r="B42" s="57">
        <v>446000</v>
      </c>
      <c r="C42" s="57">
        <v>159407</v>
      </c>
      <c r="D42" s="57">
        <f t="shared" si="0"/>
        <v>35.7414798206278</v>
      </c>
      <c r="E42" s="42">
        <f t="shared" si="1"/>
        <v>-286593</v>
      </c>
    </row>
    <row r="43" spans="1:5" s="7" customFormat="1" ht="19.5" customHeight="1">
      <c r="A43" s="16" t="s">
        <v>257</v>
      </c>
      <c r="B43" s="57">
        <v>229800</v>
      </c>
      <c r="C43" s="57">
        <v>27591.25</v>
      </c>
      <c r="D43" s="57">
        <f>IF(B43=0,"   ",C43/B43*100)</f>
        <v>12.006636205395997</v>
      </c>
      <c r="E43" s="42">
        <f>C43-B43</f>
        <v>-202208.75</v>
      </c>
    </row>
    <row r="44" spans="1:5" ht="21.75" customHeight="1">
      <c r="A44" s="193" t="s">
        <v>11</v>
      </c>
      <c r="B44" s="168">
        <f>B30+B31</f>
        <v>3158400</v>
      </c>
      <c r="C44" s="168">
        <f>C30+C31</f>
        <v>1964175.36</v>
      </c>
      <c r="D44" s="158">
        <f t="shared" si="0"/>
        <v>62.18893617021277</v>
      </c>
      <c r="E44" s="159">
        <f t="shared" si="1"/>
        <v>-1194224.64</v>
      </c>
    </row>
    <row r="45" spans="1:5" ht="12.75">
      <c r="A45" s="30"/>
      <c r="B45" s="24"/>
      <c r="C45" s="25"/>
      <c r="D45" s="26" t="str">
        <f t="shared" si="0"/>
        <v>   </v>
      </c>
      <c r="E45" s="45"/>
    </row>
    <row r="46" spans="1:5" ht="13.5" thickBot="1">
      <c r="A46" s="121" t="s">
        <v>12</v>
      </c>
      <c r="B46" s="122"/>
      <c r="C46" s="123"/>
      <c r="D46" s="128" t="str">
        <f t="shared" si="0"/>
        <v>   </v>
      </c>
      <c r="E46" s="129"/>
    </row>
    <row r="47" spans="1:5" ht="13.5" thickBot="1">
      <c r="A47" s="145" t="s">
        <v>35</v>
      </c>
      <c r="B47" s="146">
        <f>SUM(B48,B50+B51)</f>
        <v>1066400</v>
      </c>
      <c r="C47" s="146">
        <f>SUM(C48,C50+C51)</f>
        <v>616139.87</v>
      </c>
      <c r="D47" s="147">
        <f t="shared" si="0"/>
        <v>57.77755720180045</v>
      </c>
      <c r="E47" s="148">
        <f t="shared" si="1"/>
        <v>-450260.13</v>
      </c>
    </row>
    <row r="48" spans="1:5" ht="13.5" thickBot="1">
      <c r="A48" s="133" t="s">
        <v>36</v>
      </c>
      <c r="B48" s="134">
        <v>1042700</v>
      </c>
      <c r="C48" s="146">
        <v>616139.87</v>
      </c>
      <c r="D48" s="135">
        <f t="shared" si="0"/>
        <v>59.09080943703846</v>
      </c>
      <c r="E48" s="136">
        <f t="shared" si="1"/>
        <v>-426560.13</v>
      </c>
    </row>
    <row r="49" spans="1:5" ht="12.75">
      <c r="A49" s="97" t="s">
        <v>121</v>
      </c>
      <c r="B49" s="25">
        <v>722000</v>
      </c>
      <c r="C49" s="28">
        <v>422544</v>
      </c>
      <c r="D49" s="26">
        <f t="shared" si="0"/>
        <v>58.524099722991686</v>
      </c>
      <c r="E49" s="45">
        <f t="shared" si="1"/>
        <v>-299456</v>
      </c>
    </row>
    <row r="50" spans="1:5" ht="12.75">
      <c r="A50" s="16" t="s">
        <v>96</v>
      </c>
      <c r="B50" s="25">
        <v>500</v>
      </c>
      <c r="C50" s="28">
        <v>0</v>
      </c>
      <c r="D50" s="26">
        <f t="shared" si="0"/>
        <v>0</v>
      </c>
      <c r="E50" s="45">
        <f t="shared" si="1"/>
        <v>-500</v>
      </c>
    </row>
    <row r="51" spans="1:5" ht="12.75">
      <c r="A51" s="120" t="s">
        <v>53</v>
      </c>
      <c r="B51" s="31">
        <f>SUM(B52)</f>
        <v>23200</v>
      </c>
      <c r="C51" s="31">
        <f>SUM(C52)</f>
        <v>0</v>
      </c>
      <c r="D51" s="128">
        <f t="shared" si="0"/>
        <v>0</v>
      </c>
      <c r="E51" s="129">
        <f t="shared" si="1"/>
        <v>-23200</v>
      </c>
    </row>
    <row r="52" spans="1:5" ht="29.25" customHeight="1" thickBot="1">
      <c r="A52" s="120" t="s">
        <v>251</v>
      </c>
      <c r="B52" s="138">
        <v>23200</v>
      </c>
      <c r="C52" s="139">
        <v>0</v>
      </c>
      <c r="D52" s="128">
        <f t="shared" si="0"/>
        <v>0</v>
      </c>
      <c r="E52" s="129">
        <f t="shared" si="1"/>
        <v>-23200</v>
      </c>
    </row>
    <row r="53" spans="1:5" ht="13.5" thickBot="1">
      <c r="A53" s="145" t="s">
        <v>49</v>
      </c>
      <c r="B53" s="206">
        <f>SUM(B54)</f>
        <v>71300</v>
      </c>
      <c r="C53" s="206">
        <f>SUM(C54)</f>
        <v>43356.17</v>
      </c>
      <c r="D53" s="147">
        <f t="shared" si="0"/>
        <v>60.80809256661991</v>
      </c>
      <c r="E53" s="148">
        <f t="shared" si="1"/>
        <v>-27943.83</v>
      </c>
    </row>
    <row r="54" spans="1:5" ht="16.5" customHeight="1" thickBot="1">
      <c r="A54" s="137" t="s">
        <v>108</v>
      </c>
      <c r="B54" s="138">
        <v>71300</v>
      </c>
      <c r="C54" s="139">
        <v>43356.17</v>
      </c>
      <c r="D54" s="140">
        <f t="shared" si="0"/>
        <v>60.80809256661991</v>
      </c>
      <c r="E54" s="141">
        <f t="shared" si="1"/>
        <v>-27943.83</v>
      </c>
    </row>
    <row r="55" spans="1:5" ht="13.5" thickBot="1">
      <c r="A55" s="145" t="s">
        <v>37</v>
      </c>
      <c r="B55" s="146">
        <f>SUM(B56)</f>
        <v>400</v>
      </c>
      <c r="C55" s="206">
        <f>SUM(C56)</f>
        <v>0</v>
      </c>
      <c r="D55" s="147">
        <f t="shared" si="0"/>
        <v>0</v>
      </c>
      <c r="E55" s="148">
        <f t="shared" si="1"/>
        <v>-400</v>
      </c>
    </row>
    <row r="56" spans="1:5" ht="13.5" thickBot="1">
      <c r="A56" s="87" t="s">
        <v>130</v>
      </c>
      <c r="B56" s="138">
        <v>400</v>
      </c>
      <c r="C56" s="139">
        <v>0</v>
      </c>
      <c r="D56" s="140">
        <f t="shared" si="0"/>
        <v>0</v>
      </c>
      <c r="E56" s="141">
        <f t="shared" si="1"/>
        <v>-400</v>
      </c>
    </row>
    <row r="57" spans="1:5" ht="13.5" thickBot="1">
      <c r="A57" s="145" t="s">
        <v>38</v>
      </c>
      <c r="B57" s="114">
        <f>B58+B61+B65</f>
        <v>650100</v>
      </c>
      <c r="C57" s="114">
        <f>C58+C61+C65</f>
        <v>215199</v>
      </c>
      <c r="D57" s="147">
        <f t="shared" si="0"/>
        <v>33.10244577757268</v>
      </c>
      <c r="E57" s="148">
        <f t="shared" si="1"/>
        <v>-434901</v>
      </c>
    </row>
    <row r="58" spans="1:5" ht="15.75" customHeight="1" thickBot="1">
      <c r="A58" s="87" t="s">
        <v>208</v>
      </c>
      <c r="B58" s="114">
        <f>SUM(B59+B60)</f>
        <v>4000</v>
      </c>
      <c r="C58" s="114">
        <f>SUM(C59+C60)</f>
        <v>0</v>
      </c>
      <c r="D58" s="147">
        <f>IF(B58=0,"   ",C58/B58*100)</f>
        <v>0</v>
      </c>
      <c r="E58" s="148">
        <f>C58-B58</f>
        <v>-4000</v>
      </c>
    </row>
    <row r="59" spans="1:5" ht="18" customHeight="1" thickBot="1">
      <c r="A59" s="87" t="s">
        <v>179</v>
      </c>
      <c r="B59" s="138">
        <v>4000</v>
      </c>
      <c r="C59" s="146">
        <v>0</v>
      </c>
      <c r="D59" s="147">
        <f>IF(B59=0,"   ",C59/B59*100)</f>
        <v>0</v>
      </c>
      <c r="E59" s="148">
        <f>C59-B59</f>
        <v>-4000</v>
      </c>
    </row>
    <row r="60" spans="1:5" ht="18" customHeight="1">
      <c r="A60" s="87" t="s">
        <v>229</v>
      </c>
      <c r="B60" s="138">
        <v>0</v>
      </c>
      <c r="C60" s="138">
        <v>0</v>
      </c>
      <c r="D60" s="140"/>
      <c r="E60" s="141"/>
    </row>
    <row r="61" spans="1:5" ht="12.75">
      <c r="A61" s="111" t="s">
        <v>134</v>
      </c>
      <c r="B61" s="134">
        <f>B63+B64+B62</f>
        <v>602100</v>
      </c>
      <c r="C61" s="134">
        <f>C63+C64+C62</f>
        <v>215199</v>
      </c>
      <c r="D61" s="135">
        <f t="shared" si="0"/>
        <v>35.74140508221226</v>
      </c>
      <c r="E61" s="136">
        <f t="shared" si="1"/>
        <v>-386901</v>
      </c>
    </row>
    <row r="62" spans="1:5" ht="19.5" customHeight="1">
      <c r="A62" s="87" t="s">
        <v>187</v>
      </c>
      <c r="B62" s="138">
        <v>0</v>
      </c>
      <c r="C62" s="138">
        <v>0</v>
      </c>
      <c r="D62" s="135" t="str">
        <f t="shared" si="0"/>
        <v>   </v>
      </c>
      <c r="E62" s="136">
        <f t="shared" si="1"/>
        <v>0</v>
      </c>
    </row>
    <row r="63" spans="1:5" ht="25.5">
      <c r="A63" s="82" t="s">
        <v>135</v>
      </c>
      <c r="B63" s="138">
        <v>446000</v>
      </c>
      <c r="C63" s="138">
        <v>159407</v>
      </c>
      <c r="D63" s="135">
        <f t="shared" si="0"/>
        <v>35.7414798206278</v>
      </c>
      <c r="E63" s="136">
        <f t="shared" si="1"/>
        <v>-286593</v>
      </c>
    </row>
    <row r="64" spans="1:5" ht="26.25" thickBot="1">
      <c r="A64" s="82" t="s">
        <v>136</v>
      </c>
      <c r="B64" s="130">
        <v>156100</v>
      </c>
      <c r="C64" s="130">
        <v>55792</v>
      </c>
      <c r="D64" s="128">
        <f t="shared" si="0"/>
        <v>35.74119154388213</v>
      </c>
      <c r="E64" s="129">
        <f t="shared" si="1"/>
        <v>-100308</v>
      </c>
    </row>
    <row r="65" spans="1:5" ht="13.5" thickBot="1">
      <c r="A65" s="111" t="s">
        <v>209</v>
      </c>
      <c r="B65" s="114">
        <f>SUM(B66)</f>
        <v>44000</v>
      </c>
      <c r="C65" s="114">
        <f>SUM(C66)</f>
        <v>0</v>
      </c>
      <c r="D65" s="128">
        <f>IF(B65=0,"   ",C65/B65*100)</f>
        <v>0</v>
      </c>
      <c r="E65" s="129">
        <f>C65-B65</f>
        <v>-44000</v>
      </c>
    </row>
    <row r="66" spans="1:5" ht="26.25" thickBot="1">
      <c r="A66" s="87" t="s">
        <v>210</v>
      </c>
      <c r="B66" s="138">
        <v>44000</v>
      </c>
      <c r="C66" s="138">
        <v>0</v>
      </c>
      <c r="D66" s="128">
        <f>IF(B66=0,"   ",C66/B66*100)</f>
        <v>0</v>
      </c>
      <c r="E66" s="129">
        <f>C66-B66</f>
        <v>-44000</v>
      </c>
    </row>
    <row r="67" spans="1:5" ht="13.5" customHeight="1" thickBot="1">
      <c r="A67" s="145" t="s">
        <v>13</v>
      </c>
      <c r="B67" s="146">
        <f>SUM(B75,B74,B68)</f>
        <v>766600</v>
      </c>
      <c r="C67" s="146">
        <f>SUM(C75,C74,C68)</f>
        <v>33601.54</v>
      </c>
      <c r="D67" s="147">
        <f t="shared" si="0"/>
        <v>4.383190712235847</v>
      </c>
      <c r="E67" s="148">
        <f t="shared" si="1"/>
        <v>-732998.46</v>
      </c>
    </row>
    <row r="68" spans="1:5" ht="13.5" customHeight="1" thickBot="1">
      <c r="A68" s="43" t="s">
        <v>159</v>
      </c>
      <c r="B68" s="134">
        <f>SUM(B69+B70)</f>
        <v>674900</v>
      </c>
      <c r="C68" s="134">
        <f>SUM(C69+C70)</f>
        <v>0</v>
      </c>
      <c r="D68" s="147">
        <f t="shared" si="0"/>
        <v>0</v>
      </c>
      <c r="E68" s="148">
        <f t="shared" si="1"/>
        <v>-674900</v>
      </c>
    </row>
    <row r="69" spans="1:5" ht="30.75" customHeight="1" thickBot="1">
      <c r="A69" s="16" t="s">
        <v>252</v>
      </c>
      <c r="B69" s="134">
        <v>35000</v>
      </c>
      <c r="C69" s="134">
        <v>0</v>
      </c>
      <c r="D69" s="147">
        <f t="shared" si="0"/>
        <v>0</v>
      </c>
      <c r="E69" s="141">
        <f t="shared" si="1"/>
        <v>-35000</v>
      </c>
    </row>
    <row r="70" spans="1:5" ht="19.5" customHeight="1" thickBot="1">
      <c r="A70" s="120" t="s">
        <v>267</v>
      </c>
      <c r="B70" s="134">
        <f>SUM(B71+B72+B73)</f>
        <v>639900</v>
      </c>
      <c r="C70" s="134">
        <f>SUM(C71+C72+C73)</f>
        <v>0</v>
      </c>
      <c r="D70" s="147">
        <f>IF(B70=0,"   ",C70/B70*100)</f>
        <v>0</v>
      </c>
      <c r="E70" s="141">
        <f>C70-B70</f>
        <v>-639900</v>
      </c>
    </row>
    <row r="71" spans="1:5" ht="30.75" customHeight="1" thickBot="1">
      <c r="A71" s="120" t="s">
        <v>280</v>
      </c>
      <c r="B71" s="134">
        <v>331100</v>
      </c>
      <c r="C71" s="134">
        <v>0</v>
      </c>
      <c r="D71" s="147">
        <f>IF(B71=0,"   ",C71/B71*100)</f>
        <v>0</v>
      </c>
      <c r="E71" s="141">
        <f>C71-B71</f>
        <v>-331100</v>
      </c>
    </row>
    <row r="72" spans="1:5" ht="30.75" customHeight="1" thickBot="1">
      <c r="A72" s="120" t="s">
        <v>268</v>
      </c>
      <c r="B72" s="134">
        <v>270200</v>
      </c>
      <c r="C72" s="134">
        <v>0</v>
      </c>
      <c r="D72" s="147">
        <f>IF(B72=0,"   ",C72/B72*100)</f>
        <v>0</v>
      </c>
      <c r="E72" s="141">
        <f>C72-B72</f>
        <v>-270200</v>
      </c>
    </row>
    <row r="73" spans="1:5" ht="30.75" customHeight="1" thickBot="1">
      <c r="A73" s="120" t="s">
        <v>281</v>
      </c>
      <c r="B73" s="134">
        <v>38600</v>
      </c>
      <c r="C73" s="134">
        <v>0</v>
      </c>
      <c r="D73" s="147">
        <f>IF(B73=0,"   ",C73/B73*100)</f>
        <v>0</v>
      </c>
      <c r="E73" s="141">
        <f>C73-B73</f>
        <v>-38600</v>
      </c>
    </row>
    <row r="74" spans="1:5" ht="13.5" customHeight="1" thickBot="1">
      <c r="A74" s="133" t="s">
        <v>85</v>
      </c>
      <c r="B74" s="134">
        <v>0</v>
      </c>
      <c r="C74" s="134">
        <v>0</v>
      </c>
      <c r="D74" s="147" t="str">
        <f t="shared" si="0"/>
        <v>   </v>
      </c>
      <c r="E74" s="136">
        <f t="shared" si="1"/>
        <v>0</v>
      </c>
    </row>
    <row r="75" spans="1:5" ht="12.75">
      <c r="A75" s="16" t="s">
        <v>58</v>
      </c>
      <c r="B75" s="25">
        <f>B76+B82+B77+B78+B79+B80+B81+B83</f>
        <v>91700</v>
      </c>
      <c r="C75" s="25">
        <f>C76+C82+C77+C78+C79+C80+C81+C83</f>
        <v>33601.54</v>
      </c>
      <c r="D75" s="26">
        <f t="shared" si="0"/>
        <v>36.64290076335878</v>
      </c>
      <c r="E75" s="45">
        <f t="shared" si="1"/>
        <v>-58098.46</v>
      </c>
    </row>
    <row r="76" spans="1:5" ht="12.75">
      <c r="A76" s="16" t="s">
        <v>56</v>
      </c>
      <c r="B76" s="25">
        <v>82000</v>
      </c>
      <c r="C76" s="27">
        <v>33001.54</v>
      </c>
      <c r="D76" s="26">
        <f t="shared" si="0"/>
        <v>40.24578048780488</v>
      </c>
      <c r="E76" s="45">
        <f t="shared" si="1"/>
        <v>-48998.46</v>
      </c>
    </row>
    <row r="77" spans="1:5" ht="25.5">
      <c r="A77" s="120" t="s">
        <v>180</v>
      </c>
      <c r="B77" s="130">
        <v>3000</v>
      </c>
      <c r="C77" s="131">
        <v>0</v>
      </c>
      <c r="D77" s="128">
        <f t="shared" si="0"/>
        <v>0</v>
      </c>
      <c r="E77" s="129">
        <f t="shared" si="1"/>
        <v>-3000</v>
      </c>
    </row>
    <row r="78" spans="1:5" ht="25.5">
      <c r="A78" s="120" t="s">
        <v>225</v>
      </c>
      <c r="B78" s="130">
        <v>0</v>
      </c>
      <c r="C78" s="131">
        <v>0</v>
      </c>
      <c r="D78" s="128" t="str">
        <f t="shared" si="0"/>
        <v>   </v>
      </c>
      <c r="E78" s="129">
        <f t="shared" si="1"/>
        <v>0</v>
      </c>
    </row>
    <row r="79" spans="1:5" ht="15" customHeight="1">
      <c r="A79" s="120" t="s">
        <v>230</v>
      </c>
      <c r="B79" s="130">
        <v>0</v>
      </c>
      <c r="C79" s="131">
        <v>0</v>
      </c>
      <c r="D79" s="128" t="str">
        <f t="shared" si="0"/>
        <v>   </v>
      </c>
      <c r="E79" s="129">
        <f t="shared" si="1"/>
        <v>0</v>
      </c>
    </row>
    <row r="80" spans="1:5" ht="25.5">
      <c r="A80" s="120" t="s">
        <v>231</v>
      </c>
      <c r="B80" s="130">
        <v>0</v>
      </c>
      <c r="C80" s="131">
        <v>0</v>
      </c>
      <c r="D80" s="128" t="str">
        <f t="shared" si="0"/>
        <v>   </v>
      </c>
      <c r="E80" s="129">
        <f t="shared" si="1"/>
        <v>0</v>
      </c>
    </row>
    <row r="81" spans="1:5" ht="16.5" customHeight="1">
      <c r="A81" s="120" t="s">
        <v>232</v>
      </c>
      <c r="B81" s="130">
        <v>0</v>
      </c>
      <c r="C81" s="131">
        <v>0</v>
      </c>
      <c r="D81" s="128" t="str">
        <f t="shared" si="0"/>
        <v>   </v>
      </c>
      <c r="E81" s="129">
        <f t="shared" si="1"/>
        <v>0</v>
      </c>
    </row>
    <row r="82" spans="1:5" ht="12.75">
      <c r="A82" s="120" t="s">
        <v>59</v>
      </c>
      <c r="B82" s="130">
        <v>6700</v>
      </c>
      <c r="C82" s="131">
        <v>600</v>
      </c>
      <c r="D82" s="128">
        <f t="shared" si="0"/>
        <v>8.955223880597014</v>
      </c>
      <c r="E82" s="129">
        <f t="shared" si="1"/>
        <v>-6100</v>
      </c>
    </row>
    <row r="83" spans="1:5" ht="13.5" thickBot="1">
      <c r="A83" s="16" t="s">
        <v>95</v>
      </c>
      <c r="B83" s="138">
        <v>0</v>
      </c>
      <c r="C83" s="139">
        <v>0</v>
      </c>
      <c r="D83" s="140" t="str">
        <f t="shared" si="0"/>
        <v>   </v>
      </c>
      <c r="E83" s="141">
        <f t="shared" si="1"/>
        <v>0</v>
      </c>
    </row>
    <row r="84" spans="1:5" ht="15.75" thickBot="1">
      <c r="A84" s="149" t="s">
        <v>17</v>
      </c>
      <c r="B84" s="114">
        <v>8000</v>
      </c>
      <c r="C84" s="114">
        <v>0</v>
      </c>
      <c r="D84" s="147">
        <f t="shared" si="0"/>
        <v>0</v>
      </c>
      <c r="E84" s="148">
        <f t="shared" si="1"/>
        <v>-8000</v>
      </c>
    </row>
    <row r="85" spans="1:5" ht="13.5" thickBot="1">
      <c r="A85" s="145" t="s">
        <v>41</v>
      </c>
      <c r="B85" s="207">
        <f>B86</f>
        <v>666600</v>
      </c>
      <c r="C85" s="207">
        <f>C86</f>
        <v>499600</v>
      </c>
      <c r="D85" s="147">
        <f t="shared" si="0"/>
        <v>74.94749474947496</v>
      </c>
      <c r="E85" s="148">
        <f t="shared" si="1"/>
        <v>-167000</v>
      </c>
    </row>
    <row r="86" spans="1:5" ht="12.75">
      <c r="A86" s="133" t="s">
        <v>42</v>
      </c>
      <c r="B86" s="134">
        <f>SUM(B87+B88)</f>
        <v>666600</v>
      </c>
      <c r="C86" s="134">
        <f>SUM(C87+C88)</f>
        <v>499600</v>
      </c>
      <c r="D86" s="135">
        <f t="shared" si="0"/>
        <v>74.94749474947496</v>
      </c>
      <c r="E86" s="136">
        <f t="shared" si="1"/>
        <v>-167000</v>
      </c>
    </row>
    <row r="87" spans="1:5" ht="12.75">
      <c r="A87" s="189" t="s">
        <v>151</v>
      </c>
      <c r="B87" s="138">
        <v>666600</v>
      </c>
      <c r="C87" s="139">
        <v>499600</v>
      </c>
      <c r="D87" s="140">
        <f t="shared" si="0"/>
        <v>74.94749474947496</v>
      </c>
      <c r="E87" s="141">
        <f t="shared" si="1"/>
        <v>-167000</v>
      </c>
    </row>
    <row r="88" spans="1:5" ht="13.5" thickBot="1">
      <c r="A88" s="16" t="s">
        <v>233</v>
      </c>
      <c r="B88" s="138">
        <v>0</v>
      </c>
      <c r="C88" s="139">
        <v>0</v>
      </c>
      <c r="D88" s="140" t="str">
        <f t="shared" si="0"/>
        <v>   </v>
      </c>
      <c r="E88" s="141">
        <f t="shared" si="1"/>
        <v>0</v>
      </c>
    </row>
    <row r="89" spans="1:5" ht="13.5" thickBot="1">
      <c r="A89" s="145" t="s">
        <v>125</v>
      </c>
      <c r="B89" s="146">
        <f>SUM(B90,)</f>
        <v>8000</v>
      </c>
      <c r="C89" s="146">
        <f>SUM(C90,)</f>
        <v>0</v>
      </c>
      <c r="D89" s="147">
        <f t="shared" si="0"/>
        <v>0</v>
      </c>
      <c r="E89" s="148">
        <f t="shared" si="1"/>
        <v>-8000</v>
      </c>
    </row>
    <row r="90" spans="1:5" ht="12.75">
      <c r="A90" s="143" t="s">
        <v>43</v>
      </c>
      <c r="B90" s="138">
        <v>8000</v>
      </c>
      <c r="C90" s="144">
        <v>0</v>
      </c>
      <c r="D90" s="140">
        <f t="shared" si="0"/>
        <v>0</v>
      </c>
      <c r="E90" s="141">
        <f t="shared" si="1"/>
        <v>-8000</v>
      </c>
    </row>
    <row r="91" spans="1:5" ht="21" customHeight="1">
      <c r="A91" s="193" t="s">
        <v>15</v>
      </c>
      <c r="B91" s="24">
        <f>SUM(B47,B53,B55,B57,B67,B84,B85,B89,)</f>
        <v>3237400</v>
      </c>
      <c r="C91" s="24">
        <f>SUM(C47,C53,C55,C57,C67,C84,C85,C89,)</f>
        <v>1407896.58</v>
      </c>
      <c r="D91" s="26">
        <f>IF(B91=0,"   ",C91/B91*100)</f>
        <v>43.48849632421079</v>
      </c>
      <c r="E91" s="45">
        <f>C91-B91</f>
        <v>-1829503.42</v>
      </c>
    </row>
    <row r="92" spans="1:5" s="69" customFormat="1" ht="23.25" customHeight="1">
      <c r="A92" s="92" t="s">
        <v>311</v>
      </c>
      <c r="B92" s="92"/>
      <c r="C92" s="244"/>
      <c r="D92" s="244"/>
      <c r="E92" s="244"/>
    </row>
    <row r="93" spans="1:5" s="69" customFormat="1" ht="12" customHeight="1">
      <c r="A93" s="92" t="s">
        <v>165</v>
      </c>
      <c r="B93" s="92"/>
      <c r="C93" s="93" t="s">
        <v>312</v>
      </c>
      <c r="D93" s="94"/>
      <c r="E93" s="95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</sheetData>
  <sheetProtection/>
  <mergeCells count="2">
    <mergeCell ref="A1:E1"/>
    <mergeCell ref="C92:E92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zoomScaleNormal="75" zoomScaleSheetLayoutView="100" zoomScalePageLayoutView="0" workbookViewId="0" topLeftCell="A1">
      <selection activeCell="A81" sqref="A81:E82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46" t="s">
        <v>292</v>
      </c>
      <c r="B1" s="246"/>
      <c r="C1" s="246"/>
      <c r="D1" s="246"/>
      <c r="E1" s="246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245</v>
      </c>
      <c r="C3" s="32" t="s">
        <v>293</v>
      </c>
      <c r="D3" s="19" t="s">
        <v>246</v>
      </c>
      <c r="E3" s="36" t="s">
        <v>249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59700</v>
      </c>
      <c r="C6" s="24">
        <f>SUM(C7)</f>
        <v>19142.19</v>
      </c>
      <c r="D6" s="26">
        <f aca="true" t="shared" si="0" ref="D6:D79">IF(B6=0,"   ",C6/B6*100)</f>
        <v>32.06396984924623</v>
      </c>
      <c r="E6" s="45">
        <f aca="true" t="shared" si="1" ref="E6:E80">C6-B6</f>
        <v>-40557.81</v>
      </c>
    </row>
    <row r="7" spans="1:5" ht="15" customHeight="1">
      <c r="A7" s="16" t="s">
        <v>44</v>
      </c>
      <c r="B7" s="25">
        <v>59700</v>
      </c>
      <c r="C7" s="27">
        <v>19142.19</v>
      </c>
      <c r="D7" s="26">
        <f t="shared" si="0"/>
        <v>32.06396984924623</v>
      </c>
      <c r="E7" s="45">
        <f t="shared" si="1"/>
        <v>-40557.81</v>
      </c>
    </row>
    <row r="8" spans="1:5" ht="15.75" customHeight="1">
      <c r="A8" s="74" t="s">
        <v>144</v>
      </c>
      <c r="B8" s="24">
        <f>SUM(B9)</f>
        <v>292500</v>
      </c>
      <c r="C8" s="24">
        <f>SUM(C9)</f>
        <v>197734.25</v>
      </c>
      <c r="D8" s="26">
        <f t="shared" si="0"/>
        <v>67.60145299145299</v>
      </c>
      <c r="E8" s="45">
        <f t="shared" si="1"/>
        <v>-94765.75</v>
      </c>
    </row>
    <row r="9" spans="1:5" ht="15" customHeight="1">
      <c r="A9" s="43" t="s">
        <v>145</v>
      </c>
      <c r="B9" s="25">
        <v>292500</v>
      </c>
      <c r="C9" s="27">
        <v>197734.25</v>
      </c>
      <c r="D9" s="26">
        <f t="shared" si="0"/>
        <v>67.60145299145299</v>
      </c>
      <c r="E9" s="45">
        <f t="shared" si="1"/>
        <v>-94765.75</v>
      </c>
    </row>
    <row r="10" spans="1:5" ht="16.5" customHeight="1">
      <c r="A10" s="16" t="s">
        <v>7</v>
      </c>
      <c r="B10" s="25">
        <f>B11</f>
        <v>764900</v>
      </c>
      <c r="C10" s="25">
        <f>C11</f>
        <v>1430647.95</v>
      </c>
      <c r="D10" s="26">
        <f t="shared" si="0"/>
        <v>187.03725323571706</v>
      </c>
      <c r="E10" s="45">
        <f t="shared" si="1"/>
        <v>665747.95</v>
      </c>
    </row>
    <row r="11" spans="1:5" ht="15" customHeight="1">
      <c r="A11" s="16" t="s">
        <v>26</v>
      </c>
      <c r="B11" s="25">
        <v>764900</v>
      </c>
      <c r="C11" s="27">
        <v>1430647.95</v>
      </c>
      <c r="D11" s="26">
        <f t="shared" si="0"/>
        <v>187.03725323571706</v>
      </c>
      <c r="E11" s="45">
        <f t="shared" si="1"/>
        <v>665747.95</v>
      </c>
    </row>
    <row r="12" spans="1:5" ht="15" customHeight="1">
      <c r="A12" s="16" t="s">
        <v>9</v>
      </c>
      <c r="B12" s="25">
        <f>SUM(B13:B14)</f>
        <v>448600</v>
      </c>
      <c r="C12" s="25">
        <f>SUM(C13:C14)</f>
        <v>79850.02</v>
      </c>
      <c r="D12" s="26">
        <f t="shared" si="0"/>
        <v>17.799826125724476</v>
      </c>
      <c r="E12" s="45">
        <f t="shared" si="1"/>
        <v>-368749.98</v>
      </c>
    </row>
    <row r="13" spans="1:5" ht="12.75" customHeight="1">
      <c r="A13" s="16" t="s">
        <v>27</v>
      </c>
      <c r="B13" s="25">
        <v>45000</v>
      </c>
      <c r="C13" s="27">
        <v>13262.24</v>
      </c>
      <c r="D13" s="26">
        <f t="shared" si="0"/>
        <v>29.471644444444443</v>
      </c>
      <c r="E13" s="45">
        <f t="shared" si="1"/>
        <v>-31737.760000000002</v>
      </c>
    </row>
    <row r="14" spans="1:5" ht="15" customHeight="1">
      <c r="A14" s="43" t="s">
        <v>173</v>
      </c>
      <c r="B14" s="31">
        <f>SUM(B15:B16)</f>
        <v>403600</v>
      </c>
      <c r="C14" s="31">
        <f>SUM(C15:C16)</f>
        <v>66587.78</v>
      </c>
      <c r="D14" s="26">
        <f t="shared" si="0"/>
        <v>16.498458870168484</v>
      </c>
      <c r="E14" s="45">
        <f t="shared" si="1"/>
        <v>-337012.22</v>
      </c>
    </row>
    <row r="15" spans="1:5" ht="15" customHeight="1">
      <c r="A15" s="43" t="s">
        <v>174</v>
      </c>
      <c r="B15" s="31">
        <v>3800</v>
      </c>
      <c r="C15" s="79">
        <v>3217.77</v>
      </c>
      <c r="D15" s="26">
        <f t="shared" si="0"/>
        <v>84.67815789473684</v>
      </c>
      <c r="E15" s="45">
        <f t="shared" si="1"/>
        <v>-582.23</v>
      </c>
    </row>
    <row r="16" spans="1:5" ht="15" customHeight="1">
      <c r="A16" s="43" t="s">
        <v>175</v>
      </c>
      <c r="B16" s="31">
        <v>399800</v>
      </c>
      <c r="C16" s="79">
        <v>63370.01</v>
      </c>
      <c r="D16" s="26">
        <f t="shared" si="0"/>
        <v>15.850427713856929</v>
      </c>
      <c r="E16" s="45">
        <f t="shared" si="1"/>
        <v>-336429.99</v>
      </c>
    </row>
    <row r="17" spans="1:5" ht="15" customHeight="1">
      <c r="A17" s="43" t="s">
        <v>254</v>
      </c>
      <c r="B17" s="31">
        <v>1000</v>
      </c>
      <c r="C17" s="79">
        <v>1000</v>
      </c>
      <c r="D17" s="26">
        <f t="shared" si="0"/>
        <v>100</v>
      </c>
      <c r="E17" s="45">
        <f t="shared" si="1"/>
        <v>0</v>
      </c>
    </row>
    <row r="18" spans="1:5" ht="27.7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7.75" customHeight="1">
      <c r="A19" s="16" t="s">
        <v>28</v>
      </c>
      <c r="B19" s="25">
        <f>SUM(B20:B21)</f>
        <v>58800</v>
      </c>
      <c r="C19" s="25">
        <f>SUM(C20:C21)</f>
        <v>38850.18</v>
      </c>
      <c r="D19" s="26">
        <f t="shared" si="0"/>
        <v>66.07173469387754</v>
      </c>
      <c r="E19" s="45">
        <f t="shared" si="1"/>
        <v>-19949.82</v>
      </c>
    </row>
    <row r="20" spans="1:5" ht="12.75" customHeight="1">
      <c r="A20" s="43" t="s">
        <v>163</v>
      </c>
      <c r="B20" s="25">
        <v>25000</v>
      </c>
      <c r="C20" s="25">
        <v>16282.26</v>
      </c>
      <c r="D20" s="26">
        <f t="shared" si="0"/>
        <v>65.12904</v>
      </c>
      <c r="E20" s="45">
        <f t="shared" si="1"/>
        <v>-8717.74</v>
      </c>
    </row>
    <row r="21" spans="1:5" ht="15.75" customHeight="1">
      <c r="A21" s="16" t="s">
        <v>30</v>
      </c>
      <c r="B21" s="25">
        <v>33800</v>
      </c>
      <c r="C21" s="25">
        <v>22567.92</v>
      </c>
      <c r="D21" s="26">
        <f t="shared" si="0"/>
        <v>66.76899408284022</v>
      </c>
      <c r="E21" s="45">
        <f t="shared" si="1"/>
        <v>-11232.080000000002</v>
      </c>
    </row>
    <row r="22" spans="1:5" ht="15.7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4">
        <f>C24+C25</f>
        <v>53847</v>
      </c>
      <c r="D23" s="26" t="str">
        <f t="shared" si="0"/>
        <v>   </v>
      </c>
      <c r="E23" s="45">
        <f t="shared" si="1"/>
        <v>53847</v>
      </c>
    </row>
    <row r="24" spans="1:5" ht="27.75" customHeight="1">
      <c r="A24" s="16" t="s">
        <v>79</v>
      </c>
      <c r="B24" s="25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5" customHeight="1">
      <c r="A25" s="43" t="s">
        <v>139</v>
      </c>
      <c r="B25" s="25">
        <v>0</v>
      </c>
      <c r="C25" s="27">
        <v>53847</v>
      </c>
      <c r="D25" s="26" t="str">
        <f t="shared" si="0"/>
        <v>   </v>
      </c>
      <c r="E25" s="45">
        <f t="shared" si="1"/>
        <v>53847</v>
      </c>
    </row>
    <row r="26" spans="1:5" ht="13.5" customHeight="1">
      <c r="A26" s="16" t="s">
        <v>32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46</v>
      </c>
      <c r="B27" s="25">
        <v>0</v>
      </c>
      <c r="C27" s="25">
        <v>0</v>
      </c>
      <c r="D27" s="26"/>
      <c r="E27" s="45">
        <f t="shared" si="1"/>
        <v>0</v>
      </c>
    </row>
    <row r="28" spans="1:5" ht="15" customHeight="1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3.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22.5" customHeight="1">
      <c r="A30" s="193" t="s">
        <v>10</v>
      </c>
      <c r="B30" s="46">
        <f>SUM(B6,B8,B10,B12,B18,B19,B22,B23,B29,B26,B17)</f>
        <v>1625500</v>
      </c>
      <c r="C30" s="46">
        <f>SUM(C6,C8,C10,C12,C18,C19,C22,C23,C29,C26,C17)</f>
        <v>1821071.5899999999</v>
      </c>
      <c r="D30" s="158">
        <f t="shared" si="0"/>
        <v>112.03147277760688</v>
      </c>
      <c r="E30" s="159">
        <f t="shared" si="1"/>
        <v>195571.58999999985</v>
      </c>
    </row>
    <row r="31" spans="1:5" ht="16.5" customHeight="1">
      <c r="A31" s="201" t="s">
        <v>147</v>
      </c>
      <c r="B31" s="215">
        <f>SUM(B32:B34,B37:B39)</f>
        <v>1414200</v>
      </c>
      <c r="C31" s="215">
        <f>SUM(C32:C34,C37:C39)</f>
        <v>869151</v>
      </c>
      <c r="D31" s="158">
        <f t="shared" si="0"/>
        <v>61.4588459906661</v>
      </c>
      <c r="E31" s="159">
        <f t="shared" si="1"/>
        <v>-545049</v>
      </c>
    </row>
    <row r="32" spans="1:5" ht="20.25" customHeight="1">
      <c r="A32" s="17" t="s">
        <v>34</v>
      </c>
      <c r="B32" s="24">
        <v>1123300</v>
      </c>
      <c r="C32" s="24">
        <v>748300</v>
      </c>
      <c r="D32" s="26">
        <f t="shared" si="0"/>
        <v>66.61622006587733</v>
      </c>
      <c r="E32" s="45">
        <f t="shared" si="1"/>
        <v>-375000</v>
      </c>
    </row>
    <row r="33" spans="1:5" ht="26.25" customHeight="1">
      <c r="A33" s="150" t="s">
        <v>51</v>
      </c>
      <c r="B33" s="151">
        <v>71300</v>
      </c>
      <c r="C33" s="151">
        <v>48900</v>
      </c>
      <c r="D33" s="152">
        <f t="shared" si="0"/>
        <v>68.58345021037869</v>
      </c>
      <c r="E33" s="153">
        <f t="shared" si="1"/>
        <v>-22400</v>
      </c>
    </row>
    <row r="34" spans="1:5" ht="26.25" customHeight="1">
      <c r="A34" s="124" t="s">
        <v>157</v>
      </c>
      <c r="B34" s="151">
        <f>SUM(B35:B36)</f>
        <v>1900</v>
      </c>
      <c r="C34" s="151">
        <f>SUM(C35:C36)</f>
        <v>100</v>
      </c>
      <c r="D34" s="152">
        <f t="shared" si="0"/>
        <v>5.263157894736842</v>
      </c>
      <c r="E34" s="153">
        <f t="shared" si="1"/>
        <v>-1800</v>
      </c>
    </row>
    <row r="35" spans="1:5" ht="17.25" customHeight="1">
      <c r="A35" s="124" t="s">
        <v>176</v>
      </c>
      <c r="B35" s="151">
        <v>100</v>
      </c>
      <c r="C35" s="151">
        <v>100</v>
      </c>
      <c r="D35" s="152">
        <f>IF(B35=0,"   ",C35/B35*100)</f>
        <v>100</v>
      </c>
      <c r="E35" s="153">
        <f>C35-B35</f>
        <v>0</v>
      </c>
    </row>
    <row r="36" spans="1:5" ht="26.25" customHeight="1">
      <c r="A36" s="124" t="s">
        <v>177</v>
      </c>
      <c r="B36" s="151">
        <v>1800</v>
      </c>
      <c r="C36" s="151">
        <v>0</v>
      </c>
      <c r="D36" s="152">
        <f>IF(B36=0,"   ",C36/B36*100)</f>
        <v>0</v>
      </c>
      <c r="E36" s="153">
        <f>C36-B36</f>
        <v>-1800</v>
      </c>
    </row>
    <row r="37" spans="1:5" ht="36.75" customHeight="1">
      <c r="A37" s="16" t="s">
        <v>104</v>
      </c>
      <c r="B37" s="25">
        <v>0</v>
      </c>
      <c r="C37" s="25">
        <v>0</v>
      </c>
      <c r="D37" s="26" t="str">
        <f t="shared" si="0"/>
        <v>   </v>
      </c>
      <c r="E37" s="45">
        <f t="shared" si="1"/>
        <v>0</v>
      </c>
    </row>
    <row r="38" spans="1:5" ht="18.75" customHeight="1">
      <c r="A38" s="16" t="s">
        <v>186</v>
      </c>
      <c r="B38" s="25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ht="15" customHeight="1">
      <c r="A39" s="16" t="s">
        <v>55</v>
      </c>
      <c r="B39" s="25">
        <f>B40</f>
        <v>217700</v>
      </c>
      <c r="C39" s="25">
        <f>C40</f>
        <v>71851</v>
      </c>
      <c r="D39" s="26">
        <f t="shared" si="0"/>
        <v>33.00459347726229</v>
      </c>
      <c r="E39" s="45">
        <f t="shared" si="1"/>
        <v>-145849</v>
      </c>
    </row>
    <row r="40" spans="1:5" s="7" customFormat="1" ht="18" customHeight="1">
      <c r="A40" s="56" t="s">
        <v>110</v>
      </c>
      <c r="B40" s="57">
        <v>217700</v>
      </c>
      <c r="C40" s="27">
        <v>71851</v>
      </c>
      <c r="D40" s="57">
        <f t="shared" si="0"/>
        <v>33.00459347726229</v>
      </c>
      <c r="E40" s="42">
        <f t="shared" si="1"/>
        <v>-145849</v>
      </c>
    </row>
    <row r="41" spans="1:5" ht="18.75" customHeight="1">
      <c r="A41" s="193" t="s">
        <v>11</v>
      </c>
      <c r="B41" s="168">
        <f>SUM(B30:B31,)</f>
        <v>3039700</v>
      </c>
      <c r="C41" s="168">
        <f>SUM(C30:C31,)</f>
        <v>2690222.59</v>
      </c>
      <c r="D41" s="158">
        <f t="shared" si="0"/>
        <v>88.5028979833536</v>
      </c>
      <c r="E41" s="159">
        <f t="shared" si="1"/>
        <v>-349477.41000000015</v>
      </c>
    </row>
    <row r="42" spans="1:5" ht="15" customHeight="1" thickBot="1">
      <c r="A42" s="121" t="s">
        <v>12</v>
      </c>
      <c r="B42" s="122"/>
      <c r="C42" s="123"/>
      <c r="D42" s="128" t="str">
        <f t="shared" si="0"/>
        <v>   </v>
      </c>
      <c r="E42" s="129">
        <f t="shared" si="1"/>
        <v>0</v>
      </c>
    </row>
    <row r="43" spans="1:5" ht="27.75" customHeight="1" thickBot="1">
      <c r="A43" s="145" t="s">
        <v>35</v>
      </c>
      <c r="B43" s="146">
        <f>SUM(B44,B46:B47)</f>
        <v>1064700</v>
      </c>
      <c r="C43" s="146">
        <f>SUM(C44,C46:C47)</f>
        <v>721387.7</v>
      </c>
      <c r="D43" s="147">
        <f t="shared" si="0"/>
        <v>67.75502019348173</v>
      </c>
      <c r="E43" s="148">
        <f t="shared" si="1"/>
        <v>-343312.30000000005</v>
      </c>
    </row>
    <row r="44" spans="1:5" ht="15.75" customHeight="1">
      <c r="A44" s="133" t="s">
        <v>36</v>
      </c>
      <c r="B44" s="134">
        <v>1064200</v>
      </c>
      <c r="C44" s="134">
        <v>721387.7</v>
      </c>
      <c r="D44" s="135">
        <f t="shared" si="0"/>
        <v>67.78685397481676</v>
      </c>
      <c r="E44" s="136">
        <f t="shared" si="1"/>
        <v>-342812.30000000005</v>
      </c>
    </row>
    <row r="45" spans="1:5" ht="14.25" customHeight="1">
      <c r="A45" s="97" t="s">
        <v>121</v>
      </c>
      <c r="B45" s="25">
        <v>722000</v>
      </c>
      <c r="C45" s="28">
        <v>503151.01</v>
      </c>
      <c r="D45" s="26">
        <f t="shared" si="0"/>
        <v>69.6885055401662</v>
      </c>
      <c r="E45" s="45">
        <f t="shared" si="1"/>
        <v>-218848.99</v>
      </c>
    </row>
    <row r="46" spans="1:5" ht="12.75" customHeight="1">
      <c r="A46" s="16" t="s">
        <v>96</v>
      </c>
      <c r="B46" s="25">
        <v>500</v>
      </c>
      <c r="C46" s="27">
        <v>0</v>
      </c>
      <c r="D46" s="26">
        <f t="shared" si="0"/>
        <v>0</v>
      </c>
      <c r="E46" s="45">
        <f t="shared" si="1"/>
        <v>-500</v>
      </c>
    </row>
    <row r="47" spans="1:5" ht="12.75" customHeight="1">
      <c r="A47" s="16" t="s">
        <v>52</v>
      </c>
      <c r="B47" s="25">
        <f>B48+B49</f>
        <v>0</v>
      </c>
      <c r="C47" s="25">
        <f>C48+C49</f>
        <v>0</v>
      </c>
      <c r="D47" s="26" t="str">
        <f t="shared" si="0"/>
        <v>   </v>
      </c>
      <c r="E47" s="45">
        <f t="shared" si="1"/>
        <v>0</v>
      </c>
    </row>
    <row r="48" spans="1:5" ht="24" customHeight="1">
      <c r="A48" s="120" t="s">
        <v>166</v>
      </c>
      <c r="B48" s="130">
        <v>0</v>
      </c>
      <c r="C48" s="131">
        <v>0</v>
      </c>
      <c r="D48" s="26" t="str">
        <f t="shared" si="0"/>
        <v>   </v>
      </c>
      <c r="E48" s="45">
        <f t="shared" si="1"/>
        <v>0</v>
      </c>
    </row>
    <row r="49" spans="1:5" ht="24" customHeight="1" thickBot="1">
      <c r="A49" s="120" t="s">
        <v>143</v>
      </c>
      <c r="B49" s="138">
        <v>0</v>
      </c>
      <c r="C49" s="139">
        <v>0</v>
      </c>
      <c r="D49" s="140"/>
      <c r="E49" s="141"/>
    </row>
    <row r="50" spans="1:5" ht="14.25" customHeight="1" thickBot="1">
      <c r="A50" s="145" t="s">
        <v>49</v>
      </c>
      <c r="B50" s="206">
        <f>SUM(B51)</f>
        <v>71300</v>
      </c>
      <c r="C50" s="206">
        <f>SUM(C51)</f>
        <v>43840.44</v>
      </c>
      <c r="D50" s="147">
        <f t="shared" si="0"/>
        <v>61.48729312762974</v>
      </c>
      <c r="E50" s="148">
        <f t="shared" si="1"/>
        <v>-27459.559999999998</v>
      </c>
    </row>
    <row r="51" spans="1:5" ht="22.5" customHeight="1" thickBot="1">
      <c r="A51" s="137" t="s">
        <v>108</v>
      </c>
      <c r="B51" s="138">
        <v>71300</v>
      </c>
      <c r="C51" s="139">
        <v>43840.44</v>
      </c>
      <c r="D51" s="147">
        <f t="shared" si="0"/>
        <v>61.48729312762974</v>
      </c>
      <c r="E51" s="141">
        <f t="shared" si="1"/>
        <v>-27459.559999999998</v>
      </c>
    </row>
    <row r="52" spans="1:5" ht="17.25" customHeight="1" thickBot="1">
      <c r="A52" s="145" t="s">
        <v>37</v>
      </c>
      <c r="B52" s="146">
        <f>SUM(B53)</f>
        <v>400</v>
      </c>
      <c r="C52" s="146">
        <f>SUM(C53)</f>
        <v>0</v>
      </c>
      <c r="D52" s="147">
        <f t="shared" si="0"/>
        <v>0</v>
      </c>
      <c r="E52" s="148">
        <f t="shared" si="1"/>
        <v>-400</v>
      </c>
    </row>
    <row r="53" spans="1:5" ht="15.75" customHeight="1">
      <c r="A53" s="87" t="s">
        <v>130</v>
      </c>
      <c r="B53" s="134">
        <v>400</v>
      </c>
      <c r="C53" s="142">
        <v>0</v>
      </c>
      <c r="D53" s="135">
        <f t="shared" si="0"/>
        <v>0</v>
      </c>
      <c r="E53" s="136">
        <f t="shared" si="1"/>
        <v>-400</v>
      </c>
    </row>
    <row r="54" spans="1:5" ht="18.75" customHeight="1" thickBot="1">
      <c r="A54" s="164" t="s">
        <v>38</v>
      </c>
      <c r="B54" s="130">
        <f>B58+B55+B64</f>
        <v>738200</v>
      </c>
      <c r="C54" s="130">
        <f>C58+C55+C64</f>
        <v>215246</v>
      </c>
      <c r="D54" s="128">
        <f t="shared" si="0"/>
        <v>29.158222703874287</v>
      </c>
      <c r="E54" s="129">
        <f t="shared" si="1"/>
        <v>-522954</v>
      </c>
    </row>
    <row r="55" spans="1:5" ht="18.75" customHeight="1" thickBot="1">
      <c r="A55" s="87" t="s">
        <v>178</v>
      </c>
      <c r="B55" s="114">
        <f>SUM(B56+B57)</f>
        <v>1800</v>
      </c>
      <c r="C55" s="114">
        <f>SUM(C56+C57)</f>
        <v>0</v>
      </c>
      <c r="D55" s="128">
        <f>IF(B55=0,"   ",C55/B55*100)</f>
        <v>0</v>
      </c>
      <c r="E55" s="129">
        <f>C55-B55</f>
        <v>-1800</v>
      </c>
    </row>
    <row r="56" spans="1:5" ht="18.75" customHeight="1">
      <c r="A56" s="87" t="s">
        <v>179</v>
      </c>
      <c r="B56" s="138">
        <v>1800</v>
      </c>
      <c r="C56" s="130">
        <v>0</v>
      </c>
      <c r="D56" s="128">
        <f>IF(B56=0,"   ",C56/B56*100)</f>
        <v>0</v>
      </c>
      <c r="E56" s="129">
        <f>C56-B56</f>
        <v>-1800</v>
      </c>
    </row>
    <row r="57" spans="1:5" ht="18.75" customHeight="1">
      <c r="A57" s="87" t="s">
        <v>229</v>
      </c>
      <c r="B57" s="138">
        <v>0</v>
      </c>
      <c r="C57" s="130">
        <v>0</v>
      </c>
      <c r="D57" s="128" t="str">
        <f>IF(B57=0,"   ",C57/B57*100)</f>
        <v>   </v>
      </c>
      <c r="E57" s="129">
        <f>C57-B57</f>
        <v>0</v>
      </c>
    </row>
    <row r="58" spans="1:5" ht="15" customHeight="1">
      <c r="A58" s="165" t="s">
        <v>134</v>
      </c>
      <c r="B58" s="25">
        <f>B59+B61+B63+B60+B62</f>
        <v>693900</v>
      </c>
      <c r="C58" s="25">
        <f>C59+C61+C63+C60+C62</f>
        <v>172746</v>
      </c>
      <c r="D58" s="128">
        <f t="shared" si="0"/>
        <v>24.894941634241246</v>
      </c>
      <c r="E58" s="129">
        <f t="shared" si="1"/>
        <v>-521154</v>
      </c>
    </row>
    <row r="59" spans="1:5" ht="18.75" customHeight="1">
      <c r="A59" s="87" t="s">
        <v>148</v>
      </c>
      <c r="B59" s="25">
        <v>0</v>
      </c>
      <c r="C59" s="25">
        <v>0</v>
      </c>
      <c r="D59" s="128" t="str">
        <f t="shared" si="0"/>
        <v>   </v>
      </c>
      <c r="E59" s="129">
        <f t="shared" si="1"/>
        <v>0</v>
      </c>
    </row>
    <row r="60" spans="1:5" ht="18.75" customHeight="1">
      <c r="A60" s="87" t="s">
        <v>158</v>
      </c>
      <c r="B60" s="25">
        <v>0</v>
      </c>
      <c r="C60" s="25">
        <v>0</v>
      </c>
      <c r="D60" s="128" t="str">
        <f>IF(B60=0,"   ",C60/B60*100)</f>
        <v>   </v>
      </c>
      <c r="E60" s="129">
        <f>C60-B60</f>
        <v>0</v>
      </c>
    </row>
    <row r="61" spans="1:5" ht="30" customHeight="1">
      <c r="A61" s="165" t="s">
        <v>135</v>
      </c>
      <c r="B61" s="25">
        <v>217700</v>
      </c>
      <c r="C61" s="25">
        <v>71851</v>
      </c>
      <c r="D61" s="128">
        <f t="shared" si="0"/>
        <v>33.00459347726229</v>
      </c>
      <c r="E61" s="129">
        <f t="shared" si="1"/>
        <v>-145849</v>
      </c>
    </row>
    <row r="62" spans="1:5" ht="30" customHeight="1">
      <c r="A62" s="165" t="s">
        <v>192</v>
      </c>
      <c r="B62" s="25">
        <v>0</v>
      </c>
      <c r="C62" s="25">
        <v>0</v>
      </c>
      <c r="D62" s="128" t="str">
        <f t="shared" si="0"/>
        <v>   </v>
      </c>
      <c r="E62" s="129">
        <f t="shared" si="1"/>
        <v>0</v>
      </c>
    </row>
    <row r="63" spans="1:5" ht="31.5" customHeight="1" thickBot="1">
      <c r="A63" s="165" t="s">
        <v>191</v>
      </c>
      <c r="B63" s="25">
        <v>476200</v>
      </c>
      <c r="C63" s="25">
        <v>100895</v>
      </c>
      <c r="D63" s="128">
        <f t="shared" si="0"/>
        <v>21.18752624947501</v>
      </c>
      <c r="E63" s="129">
        <f t="shared" si="1"/>
        <v>-375305</v>
      </c>
    </row>
    <row r="64" spans="1:5" ht="18" customHeight="1" thickBot="1">
      <c r="A64" s="111" t="s">
        <v>209</v>
      </c>
      <c r="B64" s="114">
        <f>SUM(B65)</f>
        <v>42500</v>
      </c>
      <c r="C64" s="114">
        <f>SUM(C65)</f>
        <v>42500</v>
      </c>
      <c r="D64" s="128">
        <f>IF(B64=0,"   ",C64/B64*100)</f>
        <v>100</v>
      </c>
      <c r="E64" s="129">
        <f>C64-B64</f>
        <v>0</v>
      </c>
    </row>
    <row r="65" spans="1:5" ht="31.5" customHeight="1">
      <c r="A65" s="87" t="s">
        <v>210</v>
      </c>
      <c r="B65" s="138">
        <v>42500</v>
      </c>
      <c r="C65" s="138">
        <v>42500</v>
      </c>
      <c r="D65" s="128">
        <f>IF(B65=0,"   ",C65/B65*100)</f>
        <v>100</v>
      </c>
      <c r="E65" s="129">
        <f>C65-B65</f>
        <v>0</v>
      </c>
    </row>
    <row r="66" spans="1:5" ht="20.25" customHeight="1" thickBot="1">
      <c r="A66" s="161" t="s">
        <v>13</v>
      </c>
      <c r="B66" s="208">
        <f>SUM(B68,B67)</f>
        <v>382400</v>
      </c>
      <c r="C66" s="208">
        <f>SUM(C68,C67)</f>
        <v>164622.8</v>
      </c>
      <c r="D66" s="162">
        <f t="shared" si="0"/>
        <v>43.049895397489536</v>
      </c>
      <c r="E66" s="163">
        <f t="shared" si="1"/>
        <v>-217777.2</v>
      </c>
    </row>
    <row r="67" spans="1:5" ht="15" customHeight="1">
      <c r="A67" s="43" t="s">
        <v>159</v>
      </c>
      <c r="B67" s="25">
        <v>0</v>
      </c>
      <c r="C67" s="25">
        <v>0</v>
      </c>
      <c r="D67" s="140"/>
      <c r="E67" s="141"/>
    </row>
    <row r="68" spans="1:5" ht="15" customHeight="1">
      <c r="A68" s="16" t="s">
        <v>58</v>
      </c>
      <c r="B68" s="25">
        <f>B69+B70+B71+B72</f>
        <v>382400</v>
      </c>
      <c r="C68" s="25">
        <f>C69+C70+C71+C72</f>
        <v>164622.8</v>
      </c>
      <c r="D68" s="26">
        <f t="shared" si="0"/>
        <v>43.049895397489536</v>
      </c>
      <c r="E68" s="45">
        <f t="shared" si="1"/>
        <v>-217777.2</v>
      </c>
    </row>
    <row r="69" spans="1:5" ht="15" customHeight="1">
      <c r="A69" s="16" t="s">
        <v>60</v>
      </c>
      <c r="B69" s="25">
        <v>232400</v>
      </c>
      <c r="C69" s="27">
        <v>56274.72</v>
      </c>
      <c r="D69" s="26">
        <f t="shared" si="0"/>
        <v>24.214595524956973</v>
      </c>
      <c r="E69" s="45">
        <f t="shared" si="1"/>
        <v>-176125.28</v>
      </c>
    </row>
    <row r="70" spans="1:5" ht="15" customHeight="1">
      <c r="A70" s="120" t="s">
        <v>59</v>
      </c>
      <c r="B70" s="130">
        <v>150000</v>
      </c>
      <c r="C70" s="131">
        <v>108348.08</v>
      </c>
      <c r="D70" s="128">
        <f t="shared" si="0"/>
        <v>72.23205333333334</v>
      </c>
      <c r="E70" s="129">
        <f t="shared" si="1"/>
        <v>-41651.92</v>
      </c>
    </row>
    <row r="71" spans="1:5" ht="29.25" customHeight="1">
      <c r="A71" s="120" t="s">
        <v>180</v>
      </c>
      <c r="B71" s="138">
        <v>0</v>
      </c>
      <c r="C71" s="139">
        <v>0</v>
      </c>
      <c r="D71" s="140" t="str">
        <f t="shared" si="0"/>
        <v>   </v>
      </c>
      <c r="E71" s="141">
        <f t="shared" si="1"/>
        <v>0</v>
      </c>
    </row>
    <row r="72" spans="1:5" ht="16.5" customHeight="1" thickBot="1">
      <c r="A72" s="16" t="s">
        <v>95</v>
      </c>
      <c r="B72" s="138">
        <v>0</v>
      </c>
      <c r="C72" s="139">
        <v>0</v>
      </c>
      <c r="D72" s="140" t="str">
        <f t="shared" si="0"/>
        <v>   </v>
      </c>
      <c r="E72" s="141">
        <f t="shared" si="1"/>
        <v>0</v>
      </c>
    </row>
    <row r="73" spans="1:5" ht="18.75" customHeight="1" thickBot="1">
      <c r="A73" s="149" t="s">
        <v>17</v>
      </c>
      <c r="B73" s="114">
        <v>8000</v>
      </c>
      <c r="C73" s="114">
        <v>0</v>
      </c>
      <c r="D73" s="147">
        <f t="shared" si="0"/>
        <v>0</v>
      </c>
      <c r="E73" s="148">
        <f t="shared" si="1"/>
        <v>-8000</v>
      </c>
    </row>
    <row r="74" spans="1:5" ht="19.5" customHeight="1" thickBot="1">
      <c r="A74" s="145" t="s">
        <v>41</v>
      </c>
      <c r="B74" s="207">
        <f>B75</f>
        <v>772700</v>
      </c>
      <c r="C74" s="207">
        <f>C75</f>
        <v>372700</v>
      </c>
      <c r="D74" s="147">
        <f t="shared" si="0"/>
        <v>48.233467063543415</v>
      </c>
      <c r="E74" s="148">
        <f t="shared" si="1"/>
        <v>-400000</v>
      </c>
    </row>
    <row r="75" spans="1:5" ht="12.75">
      <c r="A75" s="133" t="s">
        <v>42</v>
      </c>
      <c r="B75" s="134">
        <v>772700</v>
      </c>
      <c r="C75" s="142">
        <v>372700</v>
      </c>
      <c r="D75" s="135">
        <f t="shared" si="0"/>
        <v>48.233467063543415</v>
      </c>
      <c r="E75" s="136">
        <f t="shared" si="1"/>
        <v>-400000</v>
      </c>
    </row>
    <row r="76" spans="1:5" ht="12.75">
      <c r="A76" s="189" t="s">
        <v>151</v>
      </c>
      <c r="B76" s="134">
        <v>372700</v>
      </c>
      <c r="C76" s="142">
        <v>372700</v>
      </c>
      <c r="D76" s="135">
        <f t="shared" si="0"/>
        <v>100</v>
      </c>
      <c r="E76" s="136">
        <f t="shared" si="1"/>
        <v>0</v>
      </c>
    </row>
    <row r="77" spans="1:5" ht="12.75">
      <c r="A77" s="133" t="s">
        <v>265</v>
      </c>
      <c r="B77" s="134">
        <v>400000</v>
      </c>
      <c r="C77" s="142">
        <v>0</v>
      </c>
      <c r="D77" s="135">
        <f t="shared" si="0"/>
        <v>0</v>
      </c>
      <c r="E77" s="136">
        <f t="shared" si="1"/>
        <v>-400000</v>
      </c>
    </row>
    <row r="78" spans="1:5" ht="18.75" customHeight="1">
      <c r="A78" s="16" t="s">
        <v>125</v>
      </c>
      <c r="B78" s="25">
        <f>SUM(B79,)</f>
        <v>2000</v>
      </c>
      <c r="C78" s="25">
        <f>SUM(C79,)</f>
        <v>0</v>
      </c>
      <c r="D78" s="26">
        <f t="shared" si="0"/>
        <v>0</v>
      </c>
      <c r="E78" s="45">
        <f t="shared" si="1"/>
        <v>-2000</v>
      </c>
    </row>
    <row r="79" spans="1:5" ht="14.25" customHeight="1">
      <c r="A79" s="120" t="s">
        <v>43</v>
      </c>
      <c r="B79" s="130">
        <v>2000</v>
      </c>
      <c r="C79" s="132">
        <v>0</v>
      </c>
      <c r="D79" s="128">
        <f t="shared" si="0"/>
        <v>0</v>
      </c>
      <c r="E79" s="129">
        <f t="shared" si="1"/>
        <v>-2000</v>
      </c>
    </row>
    <row r="80" spans="1:5" ht="22.5" customHeight="1">
      <c r="A80" s="193" t="s">
        <v>15</v>
      </c>
      <c r="B80" s="168">
        <f>SUM(B43,B50,B52,B54,B66,B73,B74,B78,)</f>
        <v>3039700</v>
      </c>
      <c r="C80" s="168">
        <f>SUM(C43,C50,C52,C54,C66,C73,C74,C78,)</f>
        <v>1517796.94</v>
      </c>
      <c r="D80" s="158">
        <f>IF(B80=0,"   ",C80/B80*100)</f>
        <v>49.93245846629601</v>
      </c>
      <c r="E80" s="159">
        <f t="shared" si="1"/>
        <v>-1521903.06</v>
      </c>
    </row>
    <row r="81" spans="1:5" ht="18.75" customHeight="1">
      <c r="A81" s="92" t="s">
        <v>311</v>
      </c>
      <c r="B81" s="92"/>
      <c r="C81" s="244"/>
      <c r="D81" s="244"/>
      <c r="E81" s="244"/>
    </row>
    <row r="82" spans="1:5" ht="18" customHeight="1">
      <c r="A82" s="92" t="s">
        <v>165</v>
      </c>
      <c r="B82" s="92"/>
      <c r="C82" s="93" t="s">
        <v>312</v>
      </c>
      <c r="D82" s="94"/>
      <c r="E82" s="95"/>
    </row>
    <row r="83" spans="1:5" s="69" customFormat="1" ht="23.25" customHeight="1">
      <c r="A83" s="7"/>
      <c r="B83" s="7"/>
      <c r="C83" s="6"/>
      <c r="D83" s="7"/>
      <c r="E83" s="2"/>
    </row>
    <row r="84" spans="1:5" s="69" customFormat="1" ht="12" customHeight="1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</sheetData>
  <sheetProtection/>
  <mergeCells count="2">
    <mergeCell ref="A1:E1"/>
    <mergeCell ref="C81:E81"/>
  </mergeCells>
  <printOptions/>
  <pageMargins left="1.1811023622047245" right="0.7874015748031497" top="0.3937007874015748" bottom="0.3937007874015748" header="0.3937007874015748" footer="0.3937007874015748"/>
  <pageSetup fitToHeight="2" horizontalDpi="600" verticalDpi="600" orientation="landscape" paperSize="9" scale="6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79" sqref="A79:E80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46" t="s">
        <v>294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245</v>
      </c>
      <c r="C4" s="32" t="s">
        <v>295</v>
      </c>
      <c r="D4" s="19" t="s">
        <v>246</v>
      </c>
      <c r="E4" s="36" t="s">
        <v>247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4">
        <f>SUM(B8)</f>
        <v>41300</v>
      </c>
      <c r="C7" s="24">
        <f>SUM(C8)</f>
        <v>29832.91</v>
      </c>
      <c r="D7" s="26">
        <f aca="true" t="shared" si="0" ref="D7:D77">IF(B7=0,"   ",C7/B7*100)</f>
        <v>72.23464891041162</v>
      </c>
      <c r="E7" s="45">
        <f aca="true" t="shared" si="1" ref="E7:E78">C7-B7</f>
        <v>-11467.09</v>
      </c>
    </row>
    <row r="8" spans="1:5" ht="12.75" customHeight="1">
      <c r="A8" s="16" t="s">
        <v>44</v>
      </c>
      <c r="B8" s="25">
        <v>41300</v>
      </c>
      <c r="C8" s="27">
        <v>29832.91</v>
      </c>
      <c r="D8" s="26">
        <f t="shared" si="0"/>
        <v>72.23464891041162</v>
      </c>
      <c r="E8" s="45">
        <f t="shared" si="1"/>
        <v>-11467.09</v>
      </c>
    </row>
    <row r="9" spans="1:5" ht="12.75" customHeight="1">
      <c r="A9" s="74" t="s">
        <v>144</v>
      </c>
      <c r="B9" s="24">
        <f>SUM(B10)</f>
        <v>623400</v>
      </c>
      <c r="C9" s="24">
        <f>SUM(C10)</f>
        <v>421448.32</v>
      </c>
      <c r="D9" s="26">
        <f t="shared" si="0"/>
        <v>67.60479948668592</v>
      </c>
      <c r="E9" s="45">
        <f t="shared" si="1"/>
        <v>-201951.68</v>
      </c>
    </row>
    <row r="10" spans="1:5" ht="12.75" customHeight="1">
      <c r="A10" s="43" t="s">
        <v>145</v>
      </c>
      <c r="B10" s="25">
        <v>623400</v>
      </c>
      <c r="C10" s="27">
        <v>421448.32</v>
      </c>
      <c r="D10" s="26">
        <f t="shared" si="0"/>
        <v>67.60479948668592</v>
      </c>
      <c r="E10" s="45">
        <f t="shared" si="1"/>
        <v>-201951.68</v>
      </c>
    </row>
    <row r="11" spans="1:5" ht="16.5" customHeight="1">
      <c r="A11" s="16" t="s">
        <v>7</v>
      </c>
      <c r="B11" s="25">
        <f>SUM(B12:B12)</f>
        <v>8800</v>
      </c>
      <c r="C11" s="25">
        <f>SUM(C12:C12)</f>
        <v>8118</v>
      </c>
      <c r="D11" s="26">
        <f t="shared" si="0"/>
        <v>92.25</v>
      </c>
      <c r="E11" s="45">
        <f t="shared" si="1"/>
        <v>-682</v>
      </c>
    </row>
    <row r="12" spans="1:5" ht="16.5" customHeight="1">
      <c r="A12" s="16" t="s">
        <v>26</v>
      </c>
      <c r="B12" s="25">
        <v>8800</v>
      </c>
      <c r="C12" s="27">
        <v>8118</v>
      </c>
      <c r="D12" s="26">
        <f t="shared" si="0"/>
        <v>92.25</v>
      </c>
      <c r="E12" s="45">
        <f t="shared" si="1"/>
        <v>-682</v>
      </c>
    </row>
    <row r="13" spans="1:5" ht="15.75" customHeight="1">
      <c r="A13" s="16" t="s">
        <v>9</v>
      </c>
      <c r="B13" s="25">
        <f>SUM(B14:B15)</f>
        <v>377000</v>
      </c>
      <c r="C13" s="25">
        <f>SUM(C14:C15)</f>
        <v>100444.72</v>
      </c>
      <c r="D13" s="26">
        <f t="shared" si="0"/>
        <v>26.64316180371353</v>
      </c>
      <c r="E13" s="45">
        <f t="shared" si="1"/>
        <v>-276555.28</v>
      </c>
    </row>
    <row r="14" spans="1:5" ht="15.75" customHeight="1">
      <c r="A14" s="16" t="s">
        <v>27</v>
      </c>
      <c r="B14" s="25">
        <v>53000</v>
      </c>
      <c r="C14" s="27">
        <v>184.68</v>
      </c>
      <c r="D14" s="26">
        <f t="shared" si="0"/>
        <v>0.3484528301886793</v>
      </c>
      <c r="E14" s="45">
        <f t="shared" si="1"/>
        <v>-52815.32</v>
      </c>
    </row>
    <row r="15" spans="1:5" ht="14.25" customHeight="1">
      <c r="A15" s="43" t="s">
        <v>173</v>
      </c>
      <c r="B15" s="31">
        <f>SUM(B16:B17)</f>
        <v>324000</v>
      </c>
      <c r="C15" s="31">
        <f>SUM(C16:C17)</f>
        <v>100260.04000000001</v>
      </c>
      <c r="D15" s="26">
        <f t="shared" si="0"/>
        <v>30.94445679012346</v>
      </c>
      <c r="E15" s="45">
        <f t="shared" si="1"/>
        <v>-223739.96</v>
      </c>
    </row>
    <row r="16" spans="1:5" ht="14.25" customHeight="1">
      <c r="A16" s="43" t="s">
        <v>174</v>
      </c>
      <c r="B16" s="31">
        <v>48900</v>
      </c>
      <c r="C16" s="79">
        <v>47684.74</v>
      </c>
      <c r="D16" s="26">
        <f t="shared" si="0"/>
        <v>97.51480572597137</v>
      </c>
      <c r="E16" s="45">
        <f t="shared" si="1"/>
        <v>-1215.260000000002</v>
      </c>
    </row>
    <row r="17" spans="1:5" ht="14.25" customHeight="1">
      <c r="A17" s="43" t="s">
        <v>175</v>
      </c>
      <c r="B17" s="31">
        <v>275100</v>
      </c>
      <c r="C17" s="79">
        <v>52575.3</v>
      </c>
      <c r="D17" s="26">
        <f t="shared" si="0"/>
        <v>19.1113413304253</v>
      </c>
      <c r="E17" s="45">
        <f t="shared" si="1"/>
        <v>-222524.7</v>
      </c>
    </row>
    <row r="18" spans="1:5" ht="14.25" customHeight="1">
      <c r="A18" s="43" t="s">
        <v>254</v>
      </c>
      <c r="B18" s="31">
        <v>0</v>
      </c>
      <c r="C18" s="79">
        <v>200</v>
      </c>
      <c r="D18" s="26" t="str">
        <f t="shared" si="0"/>
        <v>   </v>
      </c>
      <c r="E18" s="45">
        <f t="shared" si="1"/>
        <v>200</v>
      </c>
    </row>
    <row r="19" spans="1:5" ht="15" customHeight="1">
      <c r="A19" s="16" t="s">
        <v>88</v>
      </c>
      <c r="B19" s="25">
        <v>0</v>
      </c>
      <c r="C19" s="25">
        <v>0</v>
      </c>
      <c r="D19" s="26" t="str">
        <f t="shared" si="0"/>
        <v>   </v>
      </c>
      <c r="E19" s="45">
        <f t="shared" si="1"/>
        <v>0</v>
      </c>
    </row>
    <row r="20" spans="1:5" ht="13.5" customHeight="1">
      <c r="A20" s="16" t="s">
        <v>28</v>
      </c>
      <c r="B20" s="25">
        <f>SUM(B21:B22)</f>
        <v>184600</v>
      </c>
      <c r="C20" s="25">
        <f>SUM(C21:C22)</f>
        <v>64144.46000000001</v>
      </c>
      <c r="D20" s="26">
        <f t="shared" si="0"/>
        <v>34.74781148429036</v>
      </c>
      <c r="E20" s="45">
        <f t="shared" si="1"/>
        <v>-120455.54</v>
      </c>
    </row>
    <row r="21" spans="1:5" ht="13.5" customHeight="1">
      <c r="A21" s="43" t="s">
        <v>163</v>
      </c>
      <c r="B21" s="25">
        <v>74600</v>
      </c>
      <c r="C21" s="27">
        <v>4974.16</v>
      </c>
      <c r="D21" s="26">
        <f t="shared" si="0"/>
        <v>6.667774798927614</v>
      </c>
      <c r="E21" s="45">
        <f t="shared" si="1"/>
        <v>-69625.84</v>
      </c>
    </row>
    <row r="22" spans="1:5" ht="15.75" customHeight="1">
      <c r="A22" s="16" t="s">
        <v>30</v>
      </c>
      <c r="B22" s="25">
        <v>110000</v>
      </c>
      <c r="C22" s="27">
        <v>59170.3</v>
      </c>
      <c r="D22" s="26">
        <f t="shared" si="0"/>
        <v>53.79118181818182</v>
      </c>
      <c r="E22" s="45">
        <f t="shared" si="1"/>
        <v>-50829.7</v>
      </c>
    </row>
    <row r="23" spans="1:5" ht="17.25" customHeight="1">
      <c r="A23" s="41" t="s">
        <v>92</v>
      </c>
      <c r="B23" s="25">
        <v>0</v>
      </c>
      <c r="C23" s="27">
        <v>14174.16</v>
      </c>
      <c r="D23" s="26" t="str">
        <f t="shared" si="0"/>
        <v>   </v>
      </c>
      <c r="E23" s="45">
        <f t="shared" si="1"/>
        <v>14174.16</v>
      </c>
    </row>
    <row r="24" spans="1:5" ht="18.75" customHeight="1">
      <c r="A24" s="16" t="s">
        <v>78</v>
      </c>
      <c r="B24" s="25">
        <f>SUM(B25)</f>
        <v>59100</v>
      </c>
      <c r="C24" s="25">
        <f>SUM(C25)</f>
        <v>59113</v>
      </c>
      <c r="D24" s="26">
        <f t="shared" si="0"/>
        <v>100.02199661590525</v>
      </c>
      <c r="E24" s="45">
        <f t="shared" si="1"/>
        <v>13</v>
      </c>
    </row>
    <row r="25" spans="1:5" ht="22.5" customHeight="1">
      <c r="A25" s="16" t="s">
        <v>256</v>
      </c>
      <c r="B25" s="25">
        <v>59100</v>
      </c>
      <c r="C25" s="27">
        <v>59113</v>
      </c>
      <c r="D25" s="26">
        <f t="shared" si="0"/>
        <v>100.02199661590525</v>
      </c>
      <c r="E25" s="45">
        <f t="shared" si="1"/>
        <v>13</v>
      </c>
    </row>
    <row r="26" spans="1:5" ht="16.5" customHeight="1">
      <c r="A26" s="16" t="s">
        <v>32</v>
      </c>
      <c r="B26" s="25">
        <f>B27+B28</f>
        <v>0</v>
      </c>
      <c r="C26" s="25">
        <f>C27+C28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46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3.5" customHeight="1">
      <c r="A28" s="16" t="s">
        <v>20</v>
      </c>
      <c r="B28" s="25">
        <v>0</v>
      </c>
      <c r="C28" s="27">
        <v>0</v>
      </c>
      <c r="D28" s="26"/>
      <c r="E28" s="45">
        <f t="shared" si="1"/>
        <v>0</v>
      </c>
    </row>
    <row r="29" spans="1:5" ht="12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21" customHeight="1">
      <c r="A30" s="193" t="s">
        <v>10</v>
      </c>
      <c r="B30" s="168">
        <f>SUM(B7,B9,B11,B13,B20,B23,B24,B26,B29,B18)</f>
        <v>1294200</v>
      </c>
      <c r="C30" s="168">
        <f>SUM(C7,C9,C11,C13,C20,C23,C24,C26,C29,C18)</f>
        <v>697475.57</v>
      </c>
      <c r="D30" s="158">
        <f t="shared" si="0"/>
        <v>53.89240998300108</v>
      </c>
      <c r="E30" s="159">
        <f t="shared" si="1"/>
        <v>-596724.43</v>
      </c>
    </row>
    <row r="31" spans="1:5" ht="21" customHeight="1">
      <c r="A31" s="216" t="s">
        <v>147</v>
      </c>
      <c r="B31" s="215">
        <f>SUM(B32:B34,B37:B38,B41)</f>
        <v>1953800</v>
      </c>
      <c r="C31" s="215">
        <f>SUM(C32:C34,C37:C38,C41)</f>
        <v>1166239</v>
      </c>
      <c r="D31" s="158">
        <f t="shared" si="0"/>
        <v>59.69080765687378</v>
      </c>
      <c r="E31" s="159">
        <f t="shared" si="1"/>
        <v>-787561</v>
      </c>
    </row>
    <row r="32" spans="1:5" ht="18" customHeight="1">
      <c r="A32" s="17" t="s">
        <v>34</v>
      </c>
      <c r="B32" s="24">
        <v>1023200</v>
      </c>
      <c r="C32" s="24">
        <v>681200</v>
      </c>
      <c r="D32" s="26">
        <f t="shared" si="0"/>
        <v>66.57544956997654</v>
      </c>
      <c r="E32" s="45">
        <f t="shared" si="1"/>
        <v>-342000</v>
      </c>
    </row>
    <row r="33" spans="1:5" ht="28.5" customHeight="1">
      <c r="A33" s="150" t="s">
        <v>51</v>
      </c>
      <c r="B33" s="151">
        <v>71300</v>
      </c>
      <c r="C33" s="154">
        <v>59800</v>
      </c>
      <c r="D33" s="152">
        <f t="shared" si="0"/>
        <v>83.87096774193549</v>
      </c>
      <c r="E33" s="153">
        <f t="shared" si="1"/>
        <v>-11500</v>
      </c>
    </row>
    <row r="34" spans="1:5" ht="30.75" customHeight="1">
      <c r="A34" s="124" t="s">
        <v>157</v>
      </c>
      <c r="B34" s="151">
        <f>SUM(B35:B36)</f>
        <v>100</v>
      </c>
      <c r="C34" s="151">
        <f>SUM(C35:C36)</f>
        <v>100</v>
      </c>
      <c r="D34" s="152">
        <f t="shared" si="0"/>
        <v>100</v>
      </c>
      <c r="E34" s="153">
        <f t="shared" si="1"/>
        <v>0</v>
      </c>
    </row>
    <row r="35" spans="1:5" ht="16.5" customHeight="1">
      <c r="A35" s="124" t="s">
        <v>176</v>
      </c>
      <c r="B35" s="151">
        <v>100</v>
      </c>
      <c r="C35" s="154">
        <v>100</v>
      </c>
      <c r="D35" s="152">
        <f>IF(B35=0,"   ",C35/B35*100)</f>
        <v>100</v>
      </c>
      <c r="E35" s="153">
        <f>C35-B35</f>
        <v>0</v>
      </c>
    </row>
    <row r="36" spans="1:5" ht="30.75" customHeight="1">
      <c r="A36" s="124" t="s">
        <v>177</v>
      </c>
      <c r="B36" s="151">
        <v>0</v>
      </c>
      <c r="C36" s="154">
        <v>0</v>
      </c>
      <c r="D36" s="152" t="str">
        <f>IF(B36=0,"   ",C36/B36*100)</f>
        <v>   </v>
      </c>
      <c r="E36" s="153">
        <f>C36-B36</f>
        <v>0</v>
      </c>
    </row>
    <row r="37" spans="1:5" ht="25.5" customHeight="1">
      <c r="A37" s="16" t="s">
        <v>104</v>
      </c>
      <c r="B37" s="151">
        <v>0</v>
      </c>
      <c r="C37" s="151">
        <v>0</v>
      </c>
      <c r="D37" s="152" t="str">
        <f t="shared" si="0"/>
        <v>   </v>
      </c>
      <c r="E37" s="153">
        <f t="shared" si="1"/>
        <v>0</v>
      </c>
    </row>
    <row r="38" spans="1:5" ht="15" customHeight="1">
      <c r="A38" s="16" t="s">
        <v>81</v>
      </c>
      <c r="B38" s="25">
        <f>B40+B39</f>
        <v>701200</v>
      </c>
      <c r="C38" s="25">
        <f>C40+C39</f>
        <v>425139</v>
      </c>
      <c r="D38" s="26">
        <f t="shared" si="0"/>
        <v>60.63020536223617</v>
      </c>
      <c r="E38" s="45">
        <f t="shared" si="1"/>
        <v>-276061</v>
      </c>
    </row>
    <row r="39" spans="1:5" ht="15" customHeight="1">
      <c r="A39" s="56" t="s">
        <v>226</v>
      </c>
      <c r="B39" s="25">
        <v>237000</v>
      </c>
      <c r="C39" s="25">
        <v>237000</v>
      </c>
      <c r="D39" s="26">
        <f t="shared" si="0"/>
        <v>100</v>
      </c>
      <c r="E39" s="45">
        <f t="shared" si="1"/>
        <v>0</v>
      </c>
    </row>
    <row r="40" spans="1:5" s="7" customFormat="1" ht="15" customHeight="1">
      <c r="A40" s="56" t="s">
        <v>110</v>
      </c>
      <c r="B40" s="57">
        <v>464200</v>
      </c>
      <c r="C40" s="57">
        <v>188139</v>
      </c>
      <c r="D40" s="57">
        <f t="shared" si="0"/>
        <v>40.52972856527359</v>
      </c>
      <c r="E40" s="42">
        <f t="shared" si="1"/>
        <v>-276061</v>
      </c>
    </row>
    <row r="41" spans="1:5" s="7" customFormat="1" ht="15" customHeight="1">
      <c r="A41" s="16" t="s">
        <v>257</v>
      </c>
      <c r="B41" s="57">
        <v>158000</v>
      </c>
      <c r="C41" s="57">
        <v>0</v>
      </c>
      <c r="D41" s="57">
        <f t="shared" si="0"/>
        <v>0</v>
      </c>
      <c r="E41" s="42">
        <f t="shared" si="1"/>
        <v>-158000</v>
      </c>
    </row>
    <row r="42" spans="1:5" ht="21" customHeight="1">
      <c r="A42" s="193" t="s">
        <v>11</v>
      </c>
      <c r="B42" s="168">
        <f>SUM(B30:B31,)</f>
        <v>3248000</v>
      </c>
      <c r="C42" s="168">
        <f>SUM(C30:C31,)</f>
        <v>1863714.5699999998</v>
      </c>
      <c r="D42" s="26">
        <f t="shared" si="0"/>
        <v>57.38037469211822</v>
      </c>
      <c r="E42" s="45">
        <f t="shared" si="1"/>
        <v>-1384285.4300000002</v>
      </c>
    </row>
    <row r="43" spans="1:5" ht="12.75" customHeight="1">
      <c r="A43" s="22" t="s">
        <v>12</v>
      </c>
      <c r="B43" s="47"/>
      <c r="C43" s="48"/>
      <c r="D43" s="26" t="str">
        <f t="shared" si="0"/>
        <v>   </v>
      </c>
      <c r="E43" s="45">
        <f t="shared" si="1"/>
        <v>0</v>
      </c>
    </row>
    <row r="44" spans="1:5" ht="21" customHeight="1">
      <c r="A44" s="16" t="s">
        <v>35</v>
      </c>
      <c r="B44" s="25">
        <f>SUM(B45,B47,B48)</f>
        <v>1046400</v>
      </c>
      <c r="C44" s="25">
        <f>SUM(C45,C47,C48)</f>
        <v>583320.1</v>
      </c>
      <c r="D44" s="26">
        <f t="shared" si="0"/>
        <v>55.74542240061162</v>
      </c>
      <c r="E44" s="45">
        <f t="shared" si="1"/>
        <v>-463079.9</v>
      </c>
    </row>
    <row r="45" spans="1:5" ht="15" customHeight="1">
      <c r="A45" s="16" t="s">
        <v>36</v>
      </c>
      <c r="B45" s="25">
        <v>1045900</v>
      </c>
      <c r="C45" s="25">
        <v>583320.1</v>
      </c>
      <c r="D45" s="26">
        <f t="shared" si="0"/>
        <v>55.772071899799215</v>
      </c>
      <c r="E45" s="45">
        <f t="shared" si="1"/>
        <v>-462579.9</v>
      </c>
    </row>
    <row r="46" spans="1:5" ht="15" customHeight="1">
      <c r="A46" s="97" t="s">
        <v>122</v>
      </c>
      <c r="B46" s="25">
        <v>716600</v>
      </c>
      <c r="C46" s="28">
        <v>414956.32</v>
      </c>
      <c r="D46" s="26">
        <f t="shared" si="0"/>
        <v>57.9062684900921</v>
      </c>
      <c r="E46" s="45">
        <f t="shared" si="1"/>
        <v>-301643.68</v>
      </c>
    </row>
    <row r="47" spans="1:5" ht="12.75" customHeight="1">
      <c r="A47" s="16" t="s">
        <v>96</v>
      </c>
      <c r="B47" s="25">
        <v>500</v>
      </c>
      <c r="C47" s="27">
        <v>0</v>
      </c>
      <c r="D47" s="26">
        <f t="shared" si="0"/>
        <v>0</v>
      </c>
      <c r="E47" s="45">
        <f t="shared" si="1"/>
        <v>-500</v>
      </c>
    </row>
    <row r="48" spans="1:5" ht="12.75" customHeight="1">
      <c r="A48" s="43" t="s">
        <v>52</v>
      </c>
      <c r="B48" s="27">
        <f>SUM(B50+B49)</f>
        <v>0</v>
      </c>
      <c r="C48" s="27">
        <f>SUM(C50+C49)</f>
        <v>0</v>
      </c>
      <c r="D48" s="26" t="str">
        <f t="shared" si="0"/>
        <v>   </v>
      </c>
      <c r="E48" s="45">
        <f t="shared" si="1"/>
        <v>0</v>
      </c>
    </row>
    <row r="49" spans="1:5" ht="12.75" customHeight="1">
      <c r="A49" s="120" t="s">
        <v>197</v>
      </c>
      <c r="B49" s="27">
        <v>0</v>
      </c>
      <c r="C49" s="27">
        <v>0</v>
      </c>
      <c r="D49" s="26" t="str">
        <f>IF(B49=0,"   ",C49/B49*100)</f>
        <v>   </v>
      </c>
      <c r="E49" s="45">
        <f>C49-B49</f>
        <v>0</v>
      </c>
    </row>
    <row r="50" spans="1:5" ht="23.25" customHeight="1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21.75" customHeight="1">
      <c r="A51" s="16" t="s">
        <v>49</v>
      </c>
      <c r="B51" s="27">
        <f>SUM(B52)</f>
        <v>71300</v>
      </c>
      <c r="C51" s="27">
        <f>SUM(C52)</f>
        <v>50575.74</v>
      </c>
      <c r="D51" s="26">
        <f t="shared" si="0"/>
        <v>70.93371669004208</v>
      </c>
      <c r="E51" s="45">
        <f t="shared" si="1"/>
        <v>-20724.260000000002</v>
      </c>
    </row>
    <row r="52" spans="1:5" ht="13.5" customHeight="1">
      <c r="A52" s="41" t="s">
        <v>108</v>
      </c>
      <c r="B52" s="25">
        <v>71300</v>
      </c>
      <c r="C52" s="27">
        <v>50575.74</v>
      </c>
      <c r="D52" s="26">
        <f t="shared" si="0"/>
        <v>70.93371669004208</v>
      </c>
      <c r="E52" s="45">
        <f t="shared" si="1"/>
        <v>-20724.260000000002</v>
      </c>
    </row>
    <row r="53" spans="1:5" ht="16.5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8.75" customHeight="1">
      <c r="A55" s="16" t="s">
        <v>38</v>
      </c>
      <c r="B55" s="25">
        <f>SUM(B59,B56)</f>
        <v>791686</v>
      </c>
      <c r="C55" s="25">
        <f>SUM(C59,)</f>
        <v>359886</v>
      </c>
      <c r="D55" s="26">
        <f t="shared" si="0"/>
        <v>45.458174074064715</v>
      </c>
      <c r="E55" s="45">
        <f t="shared" si="1"/>
        <v>-431800</v>
      </c>
    </row>
    <row r="56" spans="1:5" ht="18.75" customHeight="1">
      <c r="A56" s="87" t="s">
        <v>178</v>
      </c>
      <c r="B56" s="25">
        <f>SUM(B57+B58)</f>
        <v>0</v>
      </c>
      <c r="C56" s="25">
        <f>SUM(C57+C58)</f>
        <v>0</v>
      </c>
      <c r="D56" s="26" t="str">
        <f>IF(B56=0,"   ",C56/B56*100)</f>
        <v>   </v>
      </c>
      <c r="E56" s="45">
        <f>C56-B56</f>
        <v>0</v>
      </c>
    </row>
    <row r="57" spans="1:5" ht="15" customHeight="1">
      <c r="A57" s="87" t="s">
        <v>179</v>
      </c>
      <c r="B57" s="25">
        <v>0</v>
      </c>
      <c r="C57" s="25">
        <v>0</v>
      </c>
      <c r="D57" s="26" t="str">
        <f>IF(B57=0,"   ",C57/B57*100)</f>
        <v>   </v>
      </c>
      <c r="E57" s="45">
        <f>C57-B57</f>
        <v>0</v>
      </c>
    </row>
    <row r="58" spans="1:5" ht="15" customHeight="1">
      <c r="A58" s="87" t="s">
        <v>229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3.5" customHeight="1">
      <c r="A59" s="16" t="s">
        <v>39</v>
      </c>
      <c r="B59" s="25">
        <f>B60+B61+B62</f>
        <v>791686</v>
      </c>
      <c r="C59" s="25">
        <f>C60+C61+C62</f>
        <v>359886</v>
      </c>
      <c r="D59" s="26">
        <f t="shared" si="0"/>
        <v>45.458174074064715</v>
      </c>
      <c r="E59" s="45">
        <f t="shared" si="1"/>
        <v>-431800</v>
      </c>
    </row>
    <row r="60" spans="1:5" ht="17.25" customHeight="1">
      <c r="A60" s="87" t="s">
        <v>158</v>
      </c>
      <c r="B60" s="25">
        <v>164986</v>
      </c>
      <c r="C60" s="25">
        <v>105886</v>
      </c>
      <c r="D60" s="26">
        <f t="shared" si="0"/>
        <v>64.1787788054744</v>
      </c>
      <c r="E60" s="45">
        <f t="shared" si="1"/>
        <v>-59100</v>
      </c>
    </row>
    <row r="61" spans="1:5" ht="24" customHeight="1">
      <c r="A61" s="82" t="s">
        <v>135</v>
      </c>
      <c r="B61" s="25">
        <v>464200</v>
      </c>
      <c r="C61" s="25">
        <v>188138</v>
      </c>
      <c r="D61" s="26">
        <f t="shared" si="0"/>
        <v>40.529513140887545</v>
      </c>
      <c r="E61" s="45">
        <f t="shared" si="1"/>
        <v>-276062</v>
      </c>
    </row>
    <row r="62" spans="1:5" ht="26.25" customHeight="1">
      <c r="A62" s="82" t="s">
        <v>136</v>
      </c>
      <c r="B62" s="25">
        <v>162500</v>
      </c>
      <c r="C62" s="25">
        <v>65862</v>
      </c>
      <c r="D62" s="26">
        <f t="shared" si="0"/>
        <v>40.53046153846154</v>
      </c>
      <c r="E62" s="45">
        <f t="shared" si="1"/>
        <v>-96638</v>
      </c>
    </row>
    <row r="63" spans="1:5" ht="20.25" customHeight="1">
      <c r="A63" s="16" t="s">
        <v>13</v>
      </c>
      <c r="B63" s="25">
        <f>B65+B64</f>
        <v>627214</v>
      </c>
      <c r="C63" s="25">
        <f>C65+C64</f>
        <v>75404.41</v>
      </c>
      <c r="D63" s="26">
        <f t="shared" si="0"/>
        <v>12.022118447611183</v>
      </c>
      <c r="E63" s="45">
        <f t="shared" si="1"/>
        <v>-551809.59</v>
      </c>
    </row>
    <row r="64" spans="1:5" ht="20.25" customHeight="1">
      <c r="A64" s="43" t="s">
        <v>159</v>
      </c>
      <c r="B64" s="25">
        <v>0</v>
      </c>
      <c r="C64" s="25">
        <v>0</v>
      </c>
      <c r="D64" s="26" t="str">
        <f t="shared" si="0"/>
        <v>   </v>
      </c>
      <c r="E64" s="45">
        <f t="shared" si="1"/>
        <v>0</v>
      </c>
    </row>
    <row r="65" spans="1:5" ht="12.75" customHeight="1">
      <c r="A65" s="16" t="s">
        <v>100</v>
      </c>
      <c r="B65" s="25">
        <f>B66+B67+B72+B68</f>
        <v>627214</v>
      </c>
      <c r="C65" s="25">
        <f>C66+C67+C72+C68</f>
        <v>75404.41</v>
      </c>
      <c r="D65" s="26">
        <f t="shared" si="0"/>
        <v>12.022118447611183</v>
      </c>
      <c r="E65" s="45">
        <f t="shared" si="1"/>
        <v>-551809.59</v>
      </c>
    </row>
    <row r="66" spans="1:5" ht="12.75" customHeight="1">
      <c r="A66" s="16" t="s">
        <v>101</v>
      </c>
      <c r="B66" s="25">
        <v>210000</v>
      </c>
      <c r="C66" s="25">
        <v>75404.41</v>
      </c>
      <c r="D66" s="26">
        <f t="shared" si="0"/>
        <v>35.906861904761904</v>
      </c>
      <c r="E66" s="45">
        <f t="shared" si="1"/>
        <v>-134595.59</v>
      </c>
    </row>
    <row r="67" spans="1:5" ht="12.75" customHeight="1">
      <c r="A67" s="16" t="s">
        <v>61</v>
      </c>
      <c r="B67" s="25">
        <v>22214</v>
      </c>
      <c r="C67" s="27">
        <v>0</v>
      </c>
      <c r="D67" s="26">
        <v>0</v>
      </c>
      <c r="E67" s="45">
        <f t="shared" si="1"/>
        <v>-22214</v>
      </c>
    </row>
    <row r="68" spans="1:5" ht="12.75" customHeight="1">
      <c r="A68" s="120" t="s">
        <v>269</v>
      </c>
      <c r="B68" s="25">
        <f>SUM(B69:B71)</f>
        <v>395000</v>
      </c>
      <c r="C68" s="25">
        <f>SUM(C69:C71)</f>
        <v>0</v>
      </c>
      <c r="D68" s="26">
        <v>0</v>
      </c>
      <c r="E68" s="45">
        <f>C68-B68</f>
        <v>-395000</v>
      </c>
    </row>
    <row r="69" spans="1:5" ht="29.25" customHeight="1">
      <c r="A69" s="120" t="s">
        <v>270</v>
      </c>
      <c r="B69" s="25">
        <v>237000</v>
      </c>
      <c r="C69" s="27">
        <v>0</v>
      </c>
      <c r="D69" s="26"/>
      <c r="E69" s="27">
        <f t="shared" si="1"/>
        <v>-237000</v>
      </c>
    </row>
    <row r="70" spans="1:5" ht="25.5" customHeight="1">
      <c r="A70" s="120" t="s">
        <v>271</v>
      </c>
      <c r="B70" s="25">
        <v>88000</v>
      </c>
      <c r="C70" s="27">
        <v>0</v>
      </c>
      <c r="D70" s="26"/>
      <c r="E70" s="27">
        <f t="shared" si="1"/>
        <v>-88000</v>
      </c>
    </row>
    <row r="71" spans="1:5" ht="23.25" customHeight="1">
      <c r="A71" s="120" t="s">
        <v>272</v>
      </c>
      <c r="B71" s="25">
        <v>70000</v>
      </c>
      <c r="C71" s="27">
        <v>0</v>
      </c>
      <c r="D71" s="26"/>
      <c r="E71" s="27">
        <f t="shared" si="1"/>
        <v>-70000</v>
      </c>
    </row>
    <row r="72" spans="1:5" ht="29.25" customHeight="1">
      <c r="A72" s="120" t="s">
        <v>180</v>
      </c>
      <c r="B72" s="138">
        <v>0</v>
      </c>
      <c r="C72" s="139">
        <v>0</v>
      </c>
      <c r="D72" s="140" t="str">
        <f>IF(B72=0,"   ",C72/B72*100)</f>
        <v>   </v>
      </c>
      <c r="E72" s="141">
        <f t="shared" si="1"/>
        <v>0</v>
      </c>
    </row>
    <row r="73" spans="1:5" ht="20.25" customHeight="1">
      <c r="A73" s="35" t="s">
        <v>17</v>
      </c>
      <c r="B73" s="31">
        <v>8000</v>
      </c>
      <c r="C73" s="31">
        <v>0</v>
      </c>
      <c r="D73" s="26">
        <f t="shared" si="0"/>
        <v>0</v>
      </c>
      <c r="E73" s="45">
        <f t="shared" si="1"/>
        <v>-8000</v>
      </c>
    </row>
    <row r="74" spans="1:5" ht="18" customHeight="1">
      <c r="A74" s="16" t="s">
        <v>41</v>
      </c>
      <c r="B74" s="24">
        <f>B75</f>
        <v>793600</v>
      </c>
      <c r="C74" s="24">
        <f>C75</f>
        <v>485950</v>
      </c>
      <c r="D74" s="26">
        <f t="shared" si="0"/>
        <v>61.2336189516129</v>
      </c>
      <c r="E74" s="45">
        <f t="shared" si="1"/>
        <v>-307650</v>
      </c>
    </row>
    <row r="75" spans="1:5" ht="12.75" customHeight="1">
      <c r="A75" s="16" t="s">
        <v>42</v>
      </c>
      <c r="B75" s="25">
        <v>793600</v>
      </c>
      <c r="C75" s="27">
        <v>485950</v>
      </c>
      <c r="D75" s="26">
        <f t="shared" si="0"/>
        <v>61.2336189516129</v>
      </c>
      <c r="E75" s="45">
        <f t="shared" si="1"/>
        <v>-307650</v>
      </c>
    </row>
    <row r="76" spans="1:5" ht="16.5" customHeight="1">
      <c r="A76" s="16" t="s">
        <v>125</v>
      </c>
      <c r="B76" s="25">
        <f>SUM(B77,)</f>
        <v>12000</v>
      </c>
      <c r="C76" s="25">
        <f>SUM(C77,)</f>
        <v>0</v>
      </c>
      <c r="D76" s="26">
        <f t="shared" si="0"/>
        <v>0</v>
      </c>
      <c r="E76" s="45">
        <f t="shared" si="1"/>
        <v>-12000</v>
      </c>
    </row>
    <row r="77" spans="1:5" ht="13.5" customHeight="1">
      <c r="A77" s="16" t="s">
        <v>43</v>
      </c>
      <c r="B77" s="25">
        <v>12000</v>
      </c>
      <c r="C77" s="28">
        <v>0</v>
      </c>
      <c r="D77" s="26">
        <f t="shared" si="0"/>
        <v>0</v>
      </c>
      <c r="E77" s="45">
        <f t="shared" si="1"/>
        <v>-12000</v>
      </c>
    </row>
    <row r="78" spans="1:5" ht="22.5" customHeight="1">
      <c r="A78" s="193" t="s">
        <v>15</v>
      </c>
      <c r="B78" s="24">
        <f>SUM(B44,B51,B53,B55,B63,B73,B74,B76,)</f>
        <v>3350600</v>
      </c>
      <c r="C78" s="24">
        <f>SUM(C44,C51,C53,C55,C63,C73,C74,C76,)</f>
        <v>1555136.25</v>
      </c>
      <c r="D78" s="26">
        <f>IF(B78=0,"   ",C78/B78*100)</f>
        <v>46.413664716767144</v>
      </c>
      <c r="E78" s="45">
        <f t="shared" si="1"/>
        <v>-1795463.75</v>
      </c>
    </row>
    <row r="79" spans="1:5" s="69" customFormat="1" ht="23.25" customHeight="1">
      <c r="A79" s="92" t="s">
        <v>311</v>
      </c>
      <c r="B79" s="92"/>
      <c r="C79" s="244"/>
      <c r="D79" s="244"/>
      <c r="E79" s="244"/>
    </row>
    <row r="80" spans="1:5" s="69" customFormat="1" ht="18" customHeight="1">
      <c r="A80" s="92" t="s">
        <v>165</v>
      </c>
      <c r="B80" s="92"/>
      <c r="C80" s="93" t="s">
        <v>312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3">
      <selection activeCell="C26" sqref="C26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46" t="s">
        <v>296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245</v>
      </c>
      <c r="C4" s="32" t="s">
        <v>293</v>
      </c>
      <c r="D4" s="19" t="s">
        <v>248</v>
      </c>
      <c r="E4" s="36" t="s">
        <v>247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9" t="s">
        <v>45</v>
      </c>
      <c r="B7" s="166">
        <f>SUM(B8)</f>
        <v>53300</v>
      </c>
      <c r="C7" s="166">
        <f>SUM(C8)</f>
        <v>28224.26</v>
      </c>
      <c r="D7" s="156">
        <f aca="true" t="shared" si="0" ref="D7:D78">IF(B7=0,"   ",C7/B7*100)</f>
        <v>52.953583489681044</v>
      </c>
      <c r="E7" s="157">
        <f aca="true" t="shared" si="1" ref="E7:E79">C7-B7</f>
        <v>-25075.74</v>
      </c>
    </row>
    <row r="8" spans="1:5" ht="12" customHeight="1">
      <c r="A8" s="97" t="s">
        <v>44</v>
      </c>
      <c r="B8" s="96">
        <v>53300</v>
      </c>
      <c r="C8" s="170">
        <v>28224.26</v>
      </c>
      <c r="D8" s="156">
        <f t="shared" si="0"/>
        <v>52.953583489681044</v>
      </c>
      <c r="E8" s="157">
        <f t="shared" si="1"/>
        <v>-25075.74</v>
      </c>
    </row>
    <row r="9" spans="1:5" ht="16.5" customHeight="1">
      <c r="A9" s="169" t="s">
        <v>144</v>
      </c>
      <c r="B9" s="166">
        <f>SUM(B10)</f>
        <v>687400</v>
      </c>
      <c r="C9" s="166">
        <f>SUM(C10)</f>
        <v>464747.87</v>
      </c>
      <c r="D9" s="156">
        <f t="shared" si="0"/>
        <v>67.60952429444282</v>
      </c>
      <c r="E9" s="157">
        <f t="shared" si="1"/>
        <v>-222652.13</v>
      </c>
    </row>
    <row r="10" spans="1:5" ht="11.25" customHeight="1">
      <c r="A10" s="97" t="s">
        <v>145</v>
      </c>
      <c r="B10" s="96">
        <v>687400</v>
      </c>
      <c r="C10" s="170">
        <v>464747.87</v>
      </c>
      <c r="D10" s="156">
        <f t="shared" si="0"/>
        <v>67.60952429444282</v>
      </c>
      <c r="E10" s="157">
        <f t="shared" si="1"/>
        <v>-222652.13</v>
      </c>
    </row>
    <row r="11" spans="1:5" ht="12.75">
      <c r="A11" s="97" t="s">
        <v>7</v>
      </c>
      <c r="B11" s="96">
        <f>SUM(B12:B12)</f>
        <v>82600</v>
      </c>
      <c r="C11" s="96">
        <f>SUM(C12:C12)</f>
        <v>63583.8</v>
      </c>
      <c r="D11" s="156">
        <f t="shared" si="0"/>
        <v>76.97796610169492</v>
      </c>
      <c r="E11" s="157">
        <f t="shared" si="1"/>
        <v>-19016.199999999997</v>
      </c>
    </row>
    <row r="12" spans="1:5" ht="16.5" customHeight="1">
      <c r="A12" s="97" t="s">
        <v>26</v>
      </c>
      <c r="B12" s="96">
        <v>82600</v>
      </c>
      <c r="C12" s="170">
        <v>63583.8</v>
      </c>
      <c r="D12" s="156">
        <f t="shared" si="0"/>
        <v>76.97796610169492</v>
      </c>
      <c r="E12" s="157">
        <f t="shared" si="1"/>
        <v>-19016.199999999997</v>
      </c>
    </row>
    <row r="13" spans="1:5" ht="16.5" customHeight="1">
      <c r="A13" s="97" t="s">
        <v>9</v>
      </c>
      <c r="B13" s="96">
        <f>SUM(B14:B15)</f>
        <v>675000</v>
      </c>
      <c r="C13" s="96">
        <f>SUM(C14:C15)</f>
        <v>96401.84</v>
      </c>
      <c r="D13" s="156">
        <f t="shared" si="0"/>
        <v>14.281754074074074</v>
      </c>
      <c r="E13" s="157">
        <f t="shared" si="1"/>
        <v>-578598.16</v>
      </c>
    </row>
    <row r="14" spans="1:5" ht="15" customHeight="1">
      <c r="A14" s="97" t="s">
        <v>27</v>
      </c>
      <c r="B14" s="96">
        <v>177000</v>
      </c>
      <c r="C14" s="170">
        <v>15512.71</v>
      </c>
      <c r="D14" s="156">
        <f t="shared" si="0"/>
        <v>8.764242937853108</v>
      </c>
      <c r="E14" s="157">
        <f t="shared" si="1"/>
        <v>-161487.29</v>
      </c>
    </row>
    <row r="15" spans="1:5" ht="15.75" customHeight="1">
      <c r="A15" s="43" t="s">
        <v>173</v>
      </c>
      <c r="B15" s="31">
        <f>SUM(B16:B17)</f>
        <v>498000</v>
      </c>
      <c r="C15" s="31">
        <f>SUM(C16:C17)</f>
        <v>80889.13</v>
      </c>
      <c r="D15" s="156">
        <f t="shared" si="0"/>
        <v>16.24279718875502</v>
      </c>
      <c r="E15" s="157">
        <f t="shared" si="1"/>
        <v>-417110.87</v>
      </c>
    </row>
    <row r="16" spans="1:5" ht="14.25" customHeight="1">
      <c r="A16" s="43" t="s">
        <v>174</v>
      </c>
      <c r="B16" s="31">
        <v>37300</v>
      </c>
      <c r="C16" s="79">
        <v>12217.78</v>
      </c>
      <c r="D16" s="156">
        <f t="shared" si="0"/>
        <v>32.75544235924933</v>
      </c>
      <c r="E16" s="157">
        <f t="shared" si="1"/>
        <v>-25082.22</v>
      </c>
    </row>
    <row r="17" spans="1:5" ht="12.75" customHeight="1">
      <c r="A17" s="43" t="s">
        <v>175</v>
      </c>
      <c r="B17" s="31">
        <v>460700</v>
      </c>
      <c r="C17" s="79">
        <v>68671.35</v>
      </c>
      <c r="D17" s="156">
        <f t="shared" si="0"/>
        <v>14.905871499891472</v>
      </c>
      <c r="E17" s="157">
        <f t="shared" si="1"/>
        <v>-392028.65</v>
      </c>
    </row>
    <row r="18" spans="1:5" ht="12.75" customHeight="1">
      <c r="A18" s="43" t="s">
        <v>254</v>
      </c>
      <c r="B18" s="31">
        <v>3000</v>
      </c>
      <c r="C18" s="79">
        <v>5630</v>
      </c>
      <c r="D18" s="156">
        <f t="shared" si="0"/>
        <v>187.66666666666666</v>
      </c>
      <c r="E18" s="157">
        <f t="shared" si="1"/>
        <v>2630</v>
      </c>
    </row>
    <row r="19" spans="1:5" ht="13.5" customHeight="1">
      <c r="A19" s="97" t="s">
        <v>88</v>
      </c>
      <c r="B19" s="96">
        <v>0</v>
      </c>
      <c r="C19" s="170">
        <v>0</v>
      </c>
      <c r="D19" s="156" t="str">
        <f t="shared" si="0"/>
        <v>   </v>
      </c>
      <c r="E19" s="157">
        <f t="shared" si="1"/>
        <v>0</v>
      </c>
    </row>
    <row r="20" spans="1:5" ht="24.75" customHeight="1">
      <c r="A20" s="97" t="s">
        <v>28</v>
      </c>
      <c r="B20" s="96">
        <f>B21+B22</f>
        <v>51400</v>
      </c>
      <c r="C20" s="96">
        <f>SUM(C21:C22)</f>
        <v>8043</v>
      </c>
      <c r="D20" s="156">
        <f t="shared" si="0"/>
        <v>15.64785992217899</v>
      </c>
      <c r="E20" s="157">
        <f t="shared" si="1"/>
        <v>-43357</v>
      </c>
    </row>
    <row r="21" spans="1:5" ht="14.25" customHeight="1">
      <c r="A21" s="43" t="s">
        <v>163</v>
      </c>
      <c r="B21" s="96">
        <v>51400</v>
      </c>
      <c r="C21" s="96">
        <v>8043</v>
      </c>
      <c r="D21" s="156">
        <f t="shared" si="0"/>
        <v>15.64785992217899</v>
      </c>
      <c r="E21" s="157">
        <f t="shared" si="1"/>
        <v>-43357</v>
      </c>
    </row>
    <row r="22" spans="1:5" ht="12" customHeight="1">
      <c r="A22" s="97" t="s">
        <v>30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2.75" customHeight="1">
      <c r="A23" s="97" t="s">
        <v>83</v>
      </c>
      <c r="B23" s="96">
        <v>0</v>
      </c>
      <c r="C23" s="170">
        <v>0</v>
      </c>
      <c r="D23" s="156" t="str">
        <f t="shared" si="0"/>
        <v>   </v>
      </c>
      <c r="E23" s="157">
        <f t="shared" si="1"/>
        <v>0</v>
      </c>
    </row>
    <row r="24" spans="1:5" ht="13.5" customHeight="1">
      <c r="A24" s="97" t="s">
        <v>78</v>
      </c>
      <c r="B24" s="96">
        <f>SUM(B25:B25)</f>
        <v>0</v>
      </c>
      <c r="C24" s="96">
        <f>SUM(C25:C25)</f>
        <v>0</v>
      </c>
      <c r="D24" s="156" t="str">
        <f t="shared" si="0"/>
        <v>   </v>
      </c>
      <c r="E24" s="157">
        <f t="shared" si="1"/>
        <v>0</v>
      </c>
    </row>
    <row r="25" spans="1:5" ht="13.5" customHeight="1">
      <c r="A25" s="97" t="s">
        <v>127</v>
      </c>
      <c r="B25" s="96">
        <v>0</v>
      </c>
      <c r="C25" s="96"/>
      <c r="D25" s="156" t="str">
        <f t="shared" si="0"/>
        <v>   </v>
      </c>
      <c r="E25" s="157"/>
    </row>
    <row r="26" spans="1:5" ht="12.75">
      <c r="A26" s="97" t="s">
        <v>32</v>
      </c>
      <c r="B26" s="96">
        <f>B27</f>
        <v>0</v>
      </c>
      <c r="C26" s="96">
        <f>C27</f>
        <v>0</v>
      </c>
      <c r="D26" s="156" t="str">
        <f t="shared" si="0"/>
        <v>   </v>
      </c>
      <c r="E26" s="157">
        <f t="shared" si="1"/>
        <v>0</v>
      </c>
    </row>
    <row r="27" spans="1:5" ht="12.75">
      <c r="A27" s="97" t="s">
        <v>50</v>
      </c>
      <c r="B27" s="96">
        <v>0</v>
      </c>
      <c r="C27" s="96">
        <v>0</v>
      </c>
      <c r="D27" s="156" t="str">
        <f t="shared" si="0"/>
        <v>   </v>
      </c>
      <c r="E27" s="157">
        <f t="shared" si="1"/>
        <v>0</v>
      </c>
    </row>
    <row r="28" spans="1:5" ht="12.75">
      <c r="A28" s="97" t="s">
        <v>31</v>
      </c>
      <c r="B28" s="96">
        <v>0</v>
      </c>
      <c r="C28" s="96">
        <v>0</v>
      </c>
      <c r="D28" s="156" t="str">
        <f t="shared" si="0"/>
        <v>   </v>
      </c>
      <c r="E28" s="157">
        <f t="shared" si="1"/>
        <v>0</v>
      </c>
    </row>
    <row r="29" spans="1:5" ht="18" customHeight="1">
      <c r="A29" s="176" t="s">
        <v>10</v>
      </c>
      <c r="B29" s="195">
        <f>B7+B9+B11+B13+B19+B20+B24+B26+B28+B18</f>
        <v>1552700</v>
      </c>
      <c r="C29" s="195">
        <f>C7+C9+C11+C13+C19+C20+C24+C26+C28+C18</f>
        <v>666630.77</v>
      </c>
      <c r="D29" s="158">
        <f t="shared" si="0"/>
        <v>42.933649127326596</v>
      </c>
      <c r="E29" s="159">
        <f t="shared" si="1"/>
        <v>-886069.23</v>
      </c>
    </row>
    <row r="30" spans="1:5" ht="18" customHeight="1">
      <c r="A30" s="177" t="s">
        <v>147</v>
      </c>
      <c r="B30" s="215">
        <f>SUM(B31:B33,B36,B39,B40)</f>
        <v>3860305.2</v>
      </c>
      <c r="C30" s="215">
        <f>SUM(C31:C33,C36,C39,C40)</f>
        <v>2598087.3</v>
      </c>
      <c r="D30" s="158">
        <f t="shared" si="0"/>
        <v>67.30263969802179</v>
      </c>
      <c r="E30" s="159">
        <f t="shared" si="1"/>
        <v>-1262217.9000000004</v>
      </c>
    </row>
    <row r="31" spans="1:5" ht="16.5" customHeight="1">
      <c r="A31" s="178" t="s">
        <v>34</v>
      </c>
      <c r="B31" s="179">
        <v>2414400</v>
      </c>
      <c r="C31" s="179">
        <v>1608000</v>
      </c>
      <c r="D31" s="173">
        <f t="shared" si="0"/>
        <v>66.6003976143141</v>
      </c>
      <c r="E31" s="174">
        <f t="shared" si="1"/>
        <v>-806400</v>
      </c>
    </row>
    <row r="32" spans="1:5" ht="27" customHeight="1">
      <c r="A32" s="175" t="s">
        <v>51</v>
      </c>
      <c r="B32" s="171">
        <v>142500</v>
      </c>
      <c r="C32" s="171">
        <v>127800</v>
      </c>
      <c r="D32" s="173">
        <f t="shared" si="0"/>
        <v>89.6842105263158</v>
      </c>
      <c r="E32" s="174">
        <f t="shared" si="1"/>
        <v>-14700</v>
      </c>
    </row>
    <row r="33" spans="1:5" ht="27" customHeight="1">
      <c r="A33" s="175" t="s">
        <v>157</v>
      </c>
      <c r="B33" s="171">
        <f>SUM(B34:B35)</f>
        <v>1400</v>
      </c>
      <c r="C33" s="171">
        <f>SUM(C34:C35)</f>
        <v>200</v>
      </c>
      <c r="D33" s="173">
        <f t="shared" si="0"/>
        <v>14.285714285714285</v>
      </c>
      <c r="E33" s="174">
        <f t="shared" si="1"/>
        <v>-1200</v>
      </c>
    </row>
    <row r="34" spans="1:5" ht="17.25" customHeight="1">
      <c r="A34" s="124" t="s">
        <v>176</v>
      </c>
      <c r="B34" s="171">
        <v>200</v>
      </c>
      <c r="C34" s="171">
        <v>200</v>
      </c>
      <c r="D34" s="173">
        <f t="shared" si="0"/>
        <v>100</v>
      </c>
      <c r="E34" s="174">
        <f t="shared" si="1"/>
        <v>0</v>
      </c>
    </row>
    <row r="35" spans="1:5" ht="27" customHeight="1">
      <c r="A35" s="124" t="s">
        <v>177</v>
      </c>
      <c r="B35" s="171">
        <v>1200</v>
      </c>
      <c r="C35" s="171">
        <v>0</v>
      </c>
      <c r="D35" s="173">
        <f>IF(B35=0,"   ",C35/B35*100)</f>
        <v>0</v>
      </c>
      <c r="E35" s="174">
        <f>C35-B35</f>
        <v>-1200</v>
      </c>
    </row>
    <row r="36" spans="1:5" ht="17.25" customHeight="1">
      <c r="A36" s="175" t="s">
        <v>55</v>
      </c>
      <c r="B36" s="171">
        <f>B37+B38</f>
        <v>898365.6</v>
      </c>
      <c r="C36" s="171">
        <f>C37+C38</f>
        <v>586179.4</v>
      </c>
      <c r="D36" s="173">
        <f t="shared" si="0"/>
        <v>65.24953760473464</v>
      </c>
      <c r="E36" s="174">
        <f t="shared" si="1"/>
        <v>-312186.19999999995</v>
      </c>
    </row>
    <row r="37" spans="1:5" s="7" customFormat="1" ht="14.25" customHeight="1">
      <c r="A37" s="56" t="s">
        <v>110</v>
      </c>
      <c r="B37" s="57">
        <v>512900</v>
      </c>
      <c r="C37" s="171">
        <v>200716</v>
      </c>
      <c r="D37" s="57">
        <f t="shared" si="0"/>
        <v>39.13355429908364</v>
      </c>
      <c r="E37" s="196">
        <f t="shared" si="1"/>
        <v>-312184</v>
      </c>
    </row>
    <row r="38" spans="1:5" s="7" customFormat="1" ht="14.25" customHeight="1">
      <c r="A38" s="56" t="s">
        <v>226</v>
      </c>
      <c r="B38" s="57">
        <v>385465.6</v>
      </c>
      <c r="C38" s="171">
        <v>385463.4</v>
      </c>
      <c r="D38" s="57">
        <f t="shared" si="0"/>
        <v>99.99942926165137</v>
      </c>
      <c r="E38" s="196">
        <f t="shared" si="1"/>
        <v>-2.199999999953434</v>
      </c>
    </row>
    <row r="39" spans="1:5" ht="39" customHeight="1">
      <c r="A39" s="175" t="s">
        <v>104</v>
      </c>
      <c r="B39" s="171">
        <v>211664</v>
      </c>
      <c r="C39" s="171">
        <v>211664</v>
      </c>
      <c r="D39" s="173">
        <f t="shared" si="0"/>
        <v>100</v>
      </c>
      <c r="E39" s="174">
        <f t="shared" si="1"/>
        <v>0</v>
      </c>
    </row>
    <row r="40" spans="1:5" ht="15.75" customHeight="1">
      <c r="A40" s="16" t="s">
        <v>257</v>
      </c>
      <c r="B40" s="171">
        <v>191975.6</v>
      </c>
      <c r="C40" s="171">
        <v>64243.9</v>
      </c>
      <c r="D40" s="173">
        <f t="shared" si="0"/>
        <v>33.46461737845851</v>
      </c>
      <c r="E40" s="174">
        <f t="shared" si="1"/>
        <v>-127731.70000000001</v>
      </c>
    </row>
    <row r="41" spans="1:5" ht="16.5" customHeight="1">
      <c r="A41" s="176" t="s">
        <v>11</v>
      </c>
      <c r="B41" s="168">
        <f>SUM(B29,B30,)</f>
        <v>5413005.2</v>
      </c>
      <c r="C41" s="168">
        <f>SUM(C29,C30,)</f>
        <v>3264718.07</v>
      </c>
      <c r="D41" s="158">
        <f t="shared" si="0"/>
        <v>60.31248722982937</v>
      </c>
      <c r="E41" s="159">
        <f t="shared" si="1"/>
        <v>-2148287.1300000004</v>
      </c>
    </row>
    <row r="42" spans="1:5" ht="20.25" customHeight="1">
      <c r="A42" s="30"/>
      <c r="B42" s="179"/>
      <c r="C42" s="171"/>
      <c r="D42" s="173" t="str">
        <f t="shared" si="0"/>
        <v>   </v>
      </c>
      <c r="E42" s="174">
        <f t="shared" si="1"/>
        <v>0</v>
      </c>
    </row>
    <row r="43" spans="1:5" ht="12.75">
      <c r="A43" s="180" t="s">
        <v>12</v>
      </c>
      <c r="B43" s="168"/>
      <c r="C43" s="181"/>
      <c r="D43" s="173" t="str">
        <f t="shared" si="0"/>
        <v>   </v>
      </c>
      <c r="E43" s="174">
        <f t="shared" si="1"/>
        <v>0</v>
      </c>
    </row>
    <row r="44" spans="1:5" ht="19.5" customHeight="1">
      <c r="A44" s="175" t="s">
        <v>35</v>
      </c>
      <c r="B44" s="171">
        <f>SUM(B45,B47,B48)</f>
        <v>1287264</v>
      </c>
      <c r="C44" s="171">
        <f>SUM(C45,C47,C48)</f>
        <v>801363.8</v>
      </c>
      <c r="D44" s="173">
        <f t="shared" si="0"/>
        <v>62.25325962661894</v>
      </c>
      <c r="E44" s="174">
        <f t="shared" si="1"/>
        <v>-485900.19999999995</v>
      </c>
    </row>
    <row r="45" spans="1:5" ht="13.5" customHeight="1">
      <c r="A45" s="175" t="s">
        <v>36</v>
      </c>
      <c r="B45" s="171">
        <v>1075100</v>
      </c>
      <c r="C45" s="171">
        <v>589699.8</v>
      </c>
      <c r="D45" s="173">
        <f t="shared" si="0"/>
        <v>54.85069295879453</v>
      </c>
      <c r="E45" s="174">
        <f t="shared" si="1"/>
        <v>-485400.19999999995</v>
      </c>
    </row>
    <row r="46" spans="1:5" ht="12.75">
      <c r="A46" s="175" t="s">
        <v>122</v>
      </c>
      <c r="B46" s="171">
        <v>704600</v>
      </c>
      <c r="C46" s="181">
        <v>424470.29</v>
      </c>
      <c r="D46" s="173">
        <f t="shared" si="0"/>
        <v>60.242732046551225</v>
      </c>
      <c r="E46" s="174">
        <f t="shared" si="1"/>
        <v>-280129.71</v>
      </c>
    </row>
    <row r="47" spans="1:5" ht="12.75">
      <c r="A47" s="175" t="s">
        <v>96</v>
      </c>
      <c r="B47" s="171">
        <v>500</v>
      </c>
      <c r="C47" s="172">
        <v>0</v>
      </c>
      <c r="D47" s="173">
        <f t="shared" si="0"/>
        <v>0</v>
      </c>
      <c r="E47" s="174">
        <f t="shared" si="1"/>
        <v>-500</v>
      </c>
    </row>
    <row r="48" spans="1:5" ht="12.75">
      <c r="A48" s="43" t="s">
        <v>52</v>
      </c>
      <c r="B48" s="172">
        <f>SUM(B49+B50)</f>
        <v>211664</v>
      </c>
      <c r="C48" s="172">
        <f>SUM(C49+C50)</f>
        <v>211664</v>
      </c>
      <c r="D48" s="173">
        <f>IF(B48=0,"   ",C48/B48*100)</f>
        <v>100</v>
      </c>
      <c r="E48" s="174">
        <f>C48-B48</f>
        <v>0</v>
      </c>
    </row>
    <row r="49" spans="1:5" ht="25.5">
      <c r="A49" s="120" t="s">
        <v>166</v>
      </c>
      <c r="B49" s="171">
        <v>0</v>
      </c>
      <c r="C49" s="172">
        <v>0</v>
      </c>
      <c r="D49" s="173" t="str">
        <f>IF(B49=0,"   ",C49/B49*100)</f>
        <v>   </v>
      </c>
      <c r="E49" s="174">
        <f>C49-B49</f>
        <v>0</v>
      </c>
    </row>
    <row r="50" spans="1:5" ht="12.75">
      <c r="A50" s="120" t="s">
        <v>286</v>
      </c>
      <c r="B50" s="171">
        <v>211664</v>
      </c>
      <c r="C50" s="172">
        <v>211664</v>
      </c>
      <c r="D50" s="173">
        <f>IF(B50=0,"   ",C50/B50*100)</f>
        <v>100</v>
      </c>
      <c r="E50" s="174">
        <f>C50-B50</f>
        <v>0</v>
      </c>
    </row>
    <row r="51" spans="1:5" ht="18.75" customHeight="1">
      <c r="A51" s="175" t="s">
        <v>49</v>
      </c>
      <c r="B51" s="172">
        <f>SUM(B52)</f>
        <v>142500</v>
      </c>
      <c r="C51" s="172">
        <f>SUM(C52)</f>
        <v>93031.68</v>
      </c>
      <c r="D51" s="173">
        <f t="shared" si="0"/>
        <v>65.2853894736842</v>
      </c>
      <c r="E51" s="174">
        <f t="shared" si="1"/>
        <v>-49468.32000000001</v>
      </c>
    </row>
    <row r="52" spans="1:5" ht="13.5" customHeight="1">
      <c r="A52" s="56" t="s">
        <v>108</v>
      </c>
      <c r="B52" s="171">
        <v>142500</v>
      </c>
      <c r="C52" s="172">
        <v>93031.68</v>
      </c>
      <c r="D52" s="173">
        <f t="shared" si="0"/>
        <v>65.2853894736842</v>
      </c>
      <c r="E52" s="174">
        <f t="shared" si="1"/>
        <v>-49468.32000000001</v>
      </c>
    </row>
    <row r="53" spans="1:5" ht="17.25" customHeight="1">
      <c r="A53" s="175" t="s">
        <v>37</v>
      </c>
      <c r="B53" s="171">
        <f>SUM(B54)</f>
        <v>400</v>
      </c>
      <c r="C53" s="171">
        <f>SUM(C54)</f>
        <v>0</v>
      </c>
      <c r="D53" s="173">
        <f t="shared" si="0"/>
        <v>0</v>
      </c>
      <c r="E53" s="174">
        <f t="shared" si="1"/>
        <v>-400</v>
      </c>
    </row>
    <row r="54" spans="1:5" ht="15" customHeight="1">
      <c r="A54" s="87" t="s">
        <v>130</v>
      </c>
      <c r="B54" s="171">
        <v>400</v>
      </c>
      <c r="C54" s="172">
        <v>0</v>
      </c>
      <c r="D54" s="173">
        <f t="shared" si="0"/>
        <v>0</v>
      </c>
      <c r="E54" s="174">
        <f t="shared" si="1"/>
        <v>-400</v>
      </c>
    </row>
    <row r="55" spans="1:5" ht="15.75" customHeight="1">
      <c r="A55" s="175" t="s">
        <v>38</v>
      </c>
      <c r="B55" s="171">
        <f>B59+B56</f>
        <v>693700</v>
      </c>
      <c r="C55" s="171">
        <f>C59+C56</f>
        <v>271000</v>
      </c>
      <c r="D55" s="173">
        <f t="shared" si="0"/>
        <v>39.06587862188266</v>
      </c>
      <c r="E55" s="174">
        <f t="shared" si="1"/>
        <v>-422700</v>
      </c>
    </row>
    <row r="56" spans="1:5" ht="15.75" customHeight="1">
      <c r="A56" s="87" t="s">
        <v>178</v>
      </c>
      <c r="B56" s="25">
        <f>SUM(B57+B58)</f>
        <v>1200</v>
      </c>
      <c r="C56" s="25">
        <f>SUM(C57+C58)</f>
        <v>0</v>
      </c>
      <c r="D56" s="173">
        <f>IF(B56=0,"   ",C56/B56*100)</f>
        <v>0</v>
      </c>
      <c r="E56" s="174">
        <f>C56-B56</f>
        <v>-1200</v>
      </c>
    </row>
    <row r="57" spans="1:5" ht="15.75" customHeight="1">
      <c r="A57" s="87" t="s">
        <v>179</v>
      </c>
      <c r="B57" s="25">
        <v>1200</v>
      </c>
      <c r="C57" s="171">
        <v>0</v>
      </c>
      <c r="D57" s="173">
        <f>IF(B57=0,"   ",C57/B57*100)</f>
        <v>0</v>
      </c>
      <c r="E57" s="174">
        <f>C57-B57</f>
        <v>-1200</v>
      </c>
    </row>
    <row r="58" spans="1:5" ht="15.75" customHeight="1">
      <c r="A58" s="87" t="s">
        <v>229</v>
      </c>
      <c r="B58" s="25">
        <v>0</v>
      </c>
      <c r="C58" s="171">
        <v>0</v>
      </c>
      <c r="D58" s="173"/>
      <c r="E58" s="174"/>
    </row>
    <row r="59" spans="1:5" ht="12.75">
      <c r="A59" s="183" t="s">
        <v>134</v>
      </c>
      <c r="B59" s="171">
        <f>B61+B62+B60</f>
        <v>692500</v>
      </c>
      <c r="C59" s="171">
        <f>C61+C62+C60</f>
        <v>271000</v>
      </c>
      <c r="D59" s="173">
        <f t="shared" si="0"/>
        <v>39.13357400722022</v>
      </c>
      <c r="E59" s="174">
        <f t="shared" si="1"/>
        <v>-421500</v>
      </c>
    </row>
    <row r="60" spans="1:5" ht="21.75" customHeight="1">
      <c r="A60" s="184" t="s">
        <v>158</v>
      </c>
      <c r="B60" s="171">
        <v>0</v>
      </c>
      <c r="C60" s="171">
        <v>0</v>
      </c>
      <c r="D60" s="173" t="str">
        <f t="shared" si="0"/>
        <v>   </v>
      </c>
      <c r="E60" s="174">
        <f t="shared" si="1"/>
        <v>0</v>
      </c>
    </row>
    <row r="61" spans="1:5" ht="22.5" customHeight="1">
      <c r="A61" s="182" t="s">
        <v>135</v>
      </c>
      <c r="B61" s="171">
        <v>512900</v>
      </c>
      <c r="C61" s="171">
        <v>200715</v>
      </c>
      <c r="D61" s="173">
        <f t="shared" si="0"/>
        <v>39.13335932930396</v>
      </c>
      <c r="E61" s="174">
        <f t="shared" si="1"/>
        <v>-312185</v>
      </c>
    </row>
    <row r="62" spans="1:5" ht="23.25" customHeight="1">
      <c r="A62" s="182" t="s">
        <v>136</v>
      </c>
      <c r="B62" s="171">
        <v>179600</v>
      </c>
      <c r="C62" s="171">
        <v>70285</v>
      </c>
      <c r="D62" s="173">
        <f t="shared" si="0"/>
        <v>39.13418708240535</v>
      </c>
      <c r="E62" s="174">
        <f t="shared" si="1"/>
        <v>-109315</v>
      </c>
    </row>
    <row r="63" spans="1:5" ht="17.25" customHeight="1">
      <c r="A63" s="175" t="s">
        <v>13</v>
      </c>
      <c r="B63" s="171">
        <f>SUM(B69,B64)</f>
        <v>1122341.2000000002</v>
      </c>
      <c r="C63" s="171">
        <f>C64+C69</f>
        <v>688346.1900000001</v>
      </c>
      <c r="D63" s="173">
        <f t="shared" si="0"/>
        <v>61.33127697709039</v>
      </c>
      <c r="E63" s="174">
        <f t="shared" si="1"/>
        <v>-433995.0100000001</v>
      </c>
    </row>
    <row r="64" spans="1:5" ht="15.75" customHeight="1">
      <c r="A64" s="175" t="s">
        <v>91</v>
      </c>
      <c r="B64" s="171">
        <f>B65</f>
        <v>642441.2000000001</v>
      </c>
      <c r="C64" s="171">
        <f>C65</f>
        <v>449707.30000000005</v>
      </c>
      <c r="D64" s="173">
        <f t="shared" si="0"/>
        <v>69.99976028934633</v>
      </c>
      <c r="E64" s="174">
        <f t="shared" si="1"/>
        <v>-192733.90000000002</v>
      </c>
    </row>
    <row r="65" spans="1:5" ht="15.75" customHeight="1">
      <c r="A65" s="120" t="s">
        <v>267</v>
      </c>
      <c r="B65" s="171">
        <f>B67+B66+B68</f>
        <v>642441.2000000001</v>
      </c>
      <c r="C65" s="171">
        <f>C67+C66+C68</f>
        <v>449707.30000000005</v>
      </c>
      <c r="D65" s="173">
        <f>IF(B65=0,"   ",C65/B65*100)</f>
        <v>69.99976028934633</v>
      </c>
      <c r="E65" s="174">
        <f>C65-B65</f>
        <v>-192733.90000000002</v>
      </c>
    </row>
    <row r="66" spans="1:5" ht="27.75" customHeight="1">
      <c r="A66" s="120" t="s">
        <v>225</v>
      </c>
      <c r="B66" s="171">
        <v>385465.6</v>
      </c>
      <c r="C66" s="171">
        <v>385463.4</v>
      </c>
      <c r="D66" s="173">
        <f t="shared" si="0"/>
        <v>99.99942926165137</v>
      </c>
      <c r="E66" s="174">
        <f t="shared" si="1"/>
        <v>-2.199999999953434</v>
      </c>
    </row>
    <row r="67" spans="1:5" ht="27.75" customHeight="1">
      <c r="A67" s="120" t="s">
        <v>258</v>
      </c>
      <c r="B67" s="171">
        <v>192731.7</v>
      </c>
      <c r="C67" s="171">
        <v>0</v>
      </c>
      <c r="D67" s="173">
        <f t="shared" si="0"/>
        <v>0</v>
      </c>
      <c r="E67" s="174">
        <f t="shared" si="1"/>
        <v>-192731.7</v>
      </c>
    </row>
    <row r="68" spans="1:5" ht="27.75" customHeight="1">
      <c r="A68" s="120" t="s">
        <v>273</v>
      </c>
      <c r="B68" s="171">
        <v>64243.9</v>
      </c>
      <c r="C68" s="171">
        <v>64243.9</v>
      </c>
      <c r="D68" s="173">
        <f t="shared" si="0"/>
        <v>100</v>
      </c>
      <c r="E68" s="174">
        <f t="shared" si="1"/>
        <v>0</v>
      </c>
    </row>
    <row r="69" spans="1:5" ht="12.75">
      <c r="A69" s="175" t="s">
        <v>58</v>
      </c>
      <c r="B69" s="171">
        <f>B70+B71+B72+B73</f>
        <v>479900</v>
      </c>
      <c r="C69" s="171">
        <f>C70+C71+C72+C73</f>
        <v>238638.89</v>
      </c>
      <c r="D69" s="173">
        <f t="shared" si="0"/>
        <v>49.72679516565952</v>
      </c>
      <c r="E69" s="174">
        <f t="shared" si="1"/>
        <v>-241261.11</v>
      </c>
    </row>
    <row r="70" spans="1:5" ht="12.75">
      <c r="A70" s="175" t="s">
        <v>56</v>
      </c>
      <c r="B70" s="171">
        <v>450000</v>
      </c>
      <c r="C70" s="171">
        <v>228431.29</v>
      </c>
      <c r="D70" s="173">
        <f t="shared" si="0"/>
        <v>50.76250888888889</v>
      </c>
      <c r="E70" s="174">
        <f t="shared" si="1"/>
        <v>-221568.71</v>
      </c>
    </row>
    <row r="71" spans="1:5" ht="12.75">
      <c r="A71" s="175" t="s">
        <v>59</v>
      </c>
      <c r="B71" s="171">
        <v>29900</v>
      </c>
      <c r="C71" s="172">
        <v>10207.6</v>
      </c>
      <c r="D71" s="173">
        <f t="shared" si="0"/>
        <v>34.13913043478261</v>
      </c>
      <c r="E71" s="174">
        <f t="shared" si="1"/>
        <v>-19692.4</v>
      </c>
    </row>
    <row r="72" spans="1:5" ht="25.5">
      <c r="A72" s="120" t="s">
        <v>180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12.75" customHeight="1">
      <c r="A73" s="16" t="s">
        <v>95</v>
      </c>
      <c r="B73" s="171">
        <v>0</v>
      </c>
      <c r="C73" s="172">
        <v>0</v>
      </c>
      <c r="D73" s="173" t="str">
        <f t="shared" si="0"/>
        <v>   </v>
      </c>
      <c r="E73" s="174">
        <f t="shared" si="1"/>
        <v>0</v>
      </c>
    </row>
    <row r="74" spans="1:5" ht="12.75" customHeight="1">
      <c r="A74" s="185" t="s">
        <v>17</v>
      </c>
      <c r="B74" s="186">
        <v>0</v>
      </c>
      <c r="C74" s="186">
        <v>0</v>
      </c>
      <c r="D74" s="187" t="str">
        <f t="shared" si="0"/>
        <v>   </v>
      </c>
      <c r="E74" s="188">
        <f t="shared" si="1"/>
        <v>0</v>
      </c>
    </row>
    <row r="75" spans="1:5" ht="19.5" customHeight="1">
      <c r="A75" s="189" t="s">
        <v>41</v>
      </c>
      <c r="B75" s="190">
        <f>B76</f>
        <v>2166800</v>
      </c>
      <c r="C75" s="190">
        <f>C76</f>
        <v>1082100</v>
      </c>
      <c r="D75" s="187">
        <f t="shared" si="0"/>
        <v>49.94000369208049</v>
      </c>
      <c r="E75" s="188">
        <f t="shared" si="1"/>
        <v>-1084700</v>
      </c>
    </row>
    <row r="76" spans="1:5" ht="15" customHeight="1">
      <c r="A76" s="189" t="s">
        <v>42</v>
      </c>
      <c r="B76" s="186">
        <v>2166800</v>
      </c>
      <c r="C76" s="191">
        <v>1082100</v>
      </c>
      <c r="D76" s="187">
        <f t="shared" si="0"/>
        <v>49.94000369208049</v>
      </c>
      <c r="E76" s="188">
        <f t="shared" si="1"/>
        <v>-1084700</v>
      </c>
    </row>
    <row r="77" spans="1:5" ht="14.25" customHeight="1">
      <c r="A77" s="189" t="s">
        <v>125</v>
      </c>
      <c r="B77" s="186">
        <f>SUM(B78,)</f>
        <v>0</v>
      </c>
      <c r="C77" s="186">
        <f>SUM(C78,)</f>
        <v>0</v>
      </c>
      <c r="D77" s="187" t="str">
        <f t="shared" si="0"/>
        <v>   </v>
      </c>
      <c r="E77" s="188">
        <f t="shared" si="1"/>
        <v>0</v>
      </c>
    </row>
    <row r="78" spans="1:5" ht="12.75">
      <c r="A78" s="189" t="s">
        <v>43</v>
      </c>
      <c r="B78" s="186">
        <v>0</v>
      </c>
      <c r="C78" s="192">
        <v>0</v>
      </c>
      <c r="D78" s="187" t="str">
        <f t="shared" si="0"/>
        <v>   </v>
      </c>
      <c r="E78" s="188">
        <f t="shared" si="1"/>
        <v>0</v>
      </c>
    </row>
    <row r="79" spans="1:5" ht="23.25" customHeight="1">
      <c r="A79" s="176" t="s">
        <v>15</v>
      </c>
      <c r="B79" s="168">
        <f>SUM(B44,B51,B53,B55,B63,B74,B75,B77,)</f>
        <v>5413005.2</v>
      </c>
      <c r="C79" s="168">
        <f>SUM(C44,C51,C53,C55,C63,C74,C75,C77,)</f>
        <v>2935841.67</v>
      </c>
      <c r="D79" s="158">
        <f>IF(B79=0,"   ",C79/B79*100)</f>
        <v>54.23681599271325</v>
      </c>
      <c r="E79" s="159">
        <f t="shared" si="1"/>
        <v>-2477163.5300000003</v>
      </c>
    </row>
    <row r="80" spans="1:5" s="69" customFormat="1" ht="23.25" customHeight="1">
      <c r="A80" s="92" t="s">
        <v>311</v>
      </c>
      <c r="B80" s="92"/>
      <c r="C80" s="244"/>
      <c r="D80" s="244"/>
      <c r="E80" s="244"/>
    </row>
    <row r="81" spans="1:5" s="69" customFormat="1" ht="12" customHeight="1">
      <c r="A81" s="92" t="s">
        <v>165</v>
      </c>
      <c r="B81" s="92"/>
      <c r="C81" s="93" t="s">
        <v>312</v>
      </c>
      <c r="D81" s="94"/>
      <c r="E81" s="95"/>
    </row>
    <row r="82" spans="1:5" ht="12.75">
      <c r="A82" s="197"/>
      <c r="B82" s="197"/>
      <c r="C82" s="198"/>
      <c r="D82" s="197"/>
      <c r="E82" s="199"/>
    </row>
    <row r="83" spans="1:5" ht="12.75">
      <c r="A83" s="197"/>
      <c r="B83" s="197"/>
      <c r="C83" s="198"/>
      <c r="D83" s="197"/>
      <c r="E83" s="199"/>
    </row>
    <row r="84" spans="1:5" ht="12.75">
      <c r="A84" s="200"/>
      <c r="B84" s="200"/>
      <c r="C84" s="200"/>
      <c r="D84" s="200"/>
      <c r="E84" s="200"/>
    </row>
    <row r="85" spans="1:5" ht="12.75">
      <c r="A85" s="200"/>
      <c r="B85" s="200"/>
      <c r="C85" s="200"/>
      <c r="D85" s="200"/>
      <c r="E85" s="200"/>
    </row>
    <row r="86" spans="1:5" ht="12.75">
      <c r="A86" s="200"/>
      <c r="B86" s="200"/>
      <c r="C86" s="200"/>
      <c r="D86" s="200"/>
      <c r="E86" s="200"/>
    </row>
    <row r="87" spans="1:5" ht="12.75">
      <c r="A87" s="200"/>
      <c r="B87" s="200"/>
      <c r="C87" s="200"/>
      <c r="D87" s="200"/>
      <c r="E87" s="200"/>
    </row>
    <row r="88" spans="1:5" ht="12.75">
      <c r="A88" s="200"/>
      <c r="B88" s="200"/>
      <c r="C88" s="200"/>
      <c r="D88" s="200"/>
      <c r="E88" s="200"/>
    </row>
    <row r="89" spans="1:5" ht="12.75">
      <c r="A89" s="200"/>
      <c r="B89" s="200"/>
      <c r="C89" s="200"/>
      <c r="D89" s="200"/>
      <c r="E89" s="200"/>
    </row>
  </sheetData>
  <sheetProtection/>
  <mergeCells count="2">
    <mergeCell ref="A1:E1"/>
    <mergeCell ref="C80:E80"/>
  </mergeCells>
  <printOptions/>
  <pageMargins left="1.141732283464567" right="0.5511811023622047" top="0.4724409448818898" bottom="0.4724409448818898" header="0.5118110236220472" footer="0.5118110236220472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20">
      <selection activeCell="A79" sqref="A79:E80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46" t="s">
        <v>297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245</v>
      </c>
      <c r="C4" s="32" t="s">
        <v>298</v>
      </c>
      <c r="D4" s="19" t="s">
        <v>246</v>
      </c>
      <c r="E4" s="36" t="s">
        <v>247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66">
        <f>SUM(B8)</f>
        <v>70100</v>
      </c>
      <c r="C7" s="166">
        <f>C8</f>
        <v>38062.48</v>
      </c>
      <c r="D7" s="156">
        <f aca="true" t="shared" si="0" ref="D7:D77">IF(B7=0,"   ",C7/B7*100)</f>
        <v>54.29740370898717</v>
      </c>
      <c r="E7" s="157">
        <f aca="true" t="shared" si="1" ref="E7:E78">C7-B7</f>
        <v>-32037.519999999997</v>
      </c>
    </row>
    <row r="8" spans="1:5" ht="12.75">
      <c r="A8" s="16" t="s">
        <v>44</v>
      </c>
      <c r="B8" s="96">
        <v>70100</v>
      </c>
      <c r="C8" s="170">
        <v>38062.48</v>
      </c>
      <c r="D8" s="156">
        <f t="shared" si="0"/>
        <v>54.29740370898717</v>
      </c>
      <c r="E8" s="157">
        <f t="shared" si="1"/>
        <v>-32037.519999999997</v>
      </c>
    </row>
    <row r="9" spans="1:5" ht="12.75">
      <c r="A9" s="74" t="s">
        <v>144</v>
      </c>
      <c r="B9" s="166">
        <f>SUM(B10)</f>
        <v>429100</v>
      </c>
      <c r="C9" s="166">
        <f>SUM(C10)</f>
        <v>290106.49</v>
      </c>
      <c r="D9" s="156">
        <f t="shared" si="0"/>
        <v>67.60813097180144</v>
      </c>
      <c r="E9" s="157">
        <f t="shared" si="1"/>
        <v>-138993.51</v>
      </c>
    </row>
    <row r="10" spans="1:5" ht="12.75">
      <c r="A10" s="43" t="s">
        <v>145</v>
      </c>
      <c r="B10" s="96">
        <v>429100</v>
      </c>
      <c r="C10" s="170">
        <v>290106.49</v>
      </c>
      <c r="D10" s="156">
        <f t="shared" si="0"/>
        <v>67.60813097180144</v>
      </c>
      <c r="E10" s="157">
        <f t="shared" si="1"/>
        <v>-138993.51</v>
      </c>
    </row>
    <row r="11" spans="1:5" ht="13.5" customHeight="1">
      <c r="A11" s="16" t="s">
        <v>7</v>
      </c>
      <c r="B11" s="96">
        <f>SUM(B12:B12)</f>
        <v>18400</v>
      </c>
      <c r="C11" s="96">
        <f>SUM(C12:C12)</f>
        <v>37566.6</v>
      </c>
      <c r="D11" s="156">
        <f t="shared" si="0"/>
        <v>204.16630434782607</v>
      </c>
      <c r="E11" s="157">
        <f t="shared" si="1"/>
        <v>19166.6</v>
      </c>
    </row>
    <row r="12" spans="1:5" ht="13.5" customHeight="1">
      <c r="A12" s="16" t="s">
        <v>26</v>
      </c>
      <c r="B12" s="96">
        <v>18400</v>
      </c>
      <c r="C12" s="170">
        <v>37566.6</v>
      </c>
      <c r="D12" s="156">
        <f t="shared" si="0"/>
        <v>204.16630434782607</v>
      </c>
      <c r="E12" s="157">
        <f t="shared" si="1"/>
        <v>19166.6</v>
      </c>
    </row>
    <row r="13" spans="1:5" ht="12.75">
      <c r="A13" s="16" t="s">
        <v>9</v>
      </c>
      <c r="B13" s="96">
        <f>SUM(B14:B15)</f>
        <v>379000</v>
      </c>
      <c r="C13" s="96">
        <f>SUM(C14:C15)</f>
        <v>100968.39</v>
      </c>
      <c r="D13" s="156">
        <f t="shared" si="0"/>
        <v>26.640736147757256</v>
      </c>
      <c r="E13" s="157">
        <f t="shared" si="1"/>
        <v>-278031.61</v>
      </c>
    </row>
    <row r="14" spans="1:5" ht="19.5" customHeight="1">
      <c r="A14" s="16" t="s">
        <v>27</v>
      </c>
      <c r="B14" s="96">
        <v>51000</v>
      </c>
      <c r="C14" s="170">
        <v>10638.48</v>
      </c>
      <c r="D14" s="156">
        <f t="shared" si="0"/>
        <v>20.859764705882352</v>
      </c>
      <c r="E14" s="157">
        <f t="shared" si="1"/>
        <v>-40361.520000000004</v>
      </c>
    </row>
    <row r="15" spans="1:5" ht="18.75" customHeight="1">
      <c r="A15" s="43" t="s">
        <v>173</v>
      </c>
      <c r="B15" s="31">
        <f>SUM(B16:B17)</f>
        <v>328000</v>
      </c>
      <c r="C15" s="31">
        <f>SUM(C16:C17)</f>
        <v>90329.91</v>
      </c>
      <c r="D15" s="156">
        <f t="shared" si="0"/>
        <v>27.539606707317077</v>
      </c>
      <c r="E15" s="157">
        <f t="shared" si="1"/>
        <v>-237670.09</v>
      </c>
    </row>
    <row r="16" spans="1:5" ht="18.75" customHeight="1">
      <c r="A16" s="43" t="s">
        <v>174</v>
      </c>
      <c r="B16" s="31">
        <v>67200</v>
      </c>
      <c r="C16" s="79">
        <v>37863.23</v>
      </c>
      <c r="D16" s="156">
        <f t="shared" si="0"/>
        <v>56.34409226190476</v>
      </c>
      <c r="E16" s="157">
        <f t="shared" si="1"/>
        <v>-29336.769999999997</v>
      </c>
    </row>
    <row r="17" spans="1:5" ht="18" customHeight="1">
      <c r="A17" s="43" t="s">
        <v>175</v>
      </c>
      <c r="B17" s="31">
        <v>260800</v>
      </c>
      <c r="C17" s="79">
        <v>52466.68</v>
      </c>
      <c r="D17" s="156">
        <f t="shared" si="0"/>
        <v>20.117592024539878</v>
      </c>
      <c r="E17" s="157">
        <f t="shared" si="1"/>
        <v>-208333.32</v>
      </c>
    </row>
    <row r="18" spans="1:5" ht="15" customHeight="1">
      <c r="A18" s="16" t="s">
        <v>88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6.25" customHeight="1">
      <c r="A19" s="16" t="s">
        <v>28</v>
      </c>
      <c r="B19" s="96">
        <f>B21+B20</f>
        <v>71900</v>
      </c>
      <c r="C19" s="166">
        <f>SUM(C20:C21)</f>
        <v>5000</v>
      </c>
      <c r="D19" s="156">
        <f t="shared" si="0"/>
        <v>6.954102920723226</v>
      </c>
      <c r="E19" s="157">
        <f t="shared" si="1"/>
        <v>-66900</v>
      </c>
    </row>
    <row r="20" spans="1:5" ht="15.75" customHeight="1">
      <c r="A20" s="43" t="s">
        <v>163</v>
      </c>
      <c r="B20" s="96">
        <v>61000</v>
      </c>
      <c r="C20" s="170">
        <v>5000</v>
      </c>
      <c r="D20" s="156">
        <f t="shared" si="0"/>
        <v>8.19672131147541</v>
      </c>
      <c r="E20" s="157">
        <f t="shared" si="1"/>
        <v>-56000</v>
      </c>
    </row>
    <row r="21" spans="1:5" ht="15" customHeight="1">
      <c r="A21" s="16" t="s">
        <v>30</v>
      </c>
      <c r="B21" s="96">
        <v>10900</v>
      </c>
      <c r="C21" s="170">
        <v>0</v>
      </c>
      <c r="D21" s="156">
        <f t="shared" si="0"/>
        <v>0</v>
      </c>
      <c r="E21" s="157">
        <f t="shared" si="1"/>
        <v>-10900</v>
      </c>
    </row>
    <row r="22" spans="1:5" ht="18.75" customHeight="1">
      <c r="A22" s="41" t="s">
        <v>92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8.75" customHeight="1">
      <c r="A23" s="16" t="s">
        <v>76</v>
      </c>
      <c r="B23" s="96">
        <f>SUM(B24)</f>
        <v>0</v>
      </c>
      <c r="C23" s="96">
        <f>SUM(C24)</f>
        <v>0</v>
      </c>
      <c r="D23" s="156" t="str">
        <f t="shared" si="0"/>
        <v>   </v>
      </c>
      <c r="E23" s="157">
        <f t="shared" si="1"/>
        <v>0</v>
      </c>
    </row>
    <row r="24" spans="1:5" ht="24.75" customHeight="1">
      <c r="A24" s="16" t="s">
        <v>77</v>
      </c>
      <c r="B24" s="96">
        <v>0</v>
      </c>
      <c r="C24" s="170">
        <v>0</v>
      </c>
      <c r="D24" s="156" t="str">
        <f t="shared" si="0"/>
        <v>   </v>
      </c>
      <c r="E24" s="157">
        <f t="shared" si="1"/>
        <v>0</v>
      </c>
    </row>
    <row r="25" spans="1:5" ht="17.25" customHeight="1">
      <c r="A25" s="16" t="s">
        <v>32</v>
      </c>
      <c r="B25" s="166">
        <f>B26+B27</f>
        <v>0</v>
      </c>
      <c r="C25" s="166">
        <f>C26+C27</f>
        <v>0</v>
      </c>
      <c r="D25" s="156" t="str">
        <f t="shared" si="0"/>
        <v>   </v>
      </c>
      <c r="E25" s="157">
        <f t="shared" si="1"/>
        <v>0</v>
      </c>
    </row>
    <row r="26" spans="1:5" ht="14.25" customHeight="1">
      <c r="A26" s="16" t="s">
        <v>141</v>
      </c>
      <c r="B26" s="96">
        <v>0</v>
      </c>
      <c r="C26" s="170">
        <v>0</v>
      </c>
      <c r="D26" s="156" t="str">
        <f t="shared" si="0"/>
        <v>   </v>
      </c>
      <c r="E26" s="157">
        <f t="shared" si="1"/>
        <v>0</v>
      </c>
    </row>
    <row r="27" spans="1:5" ht="14.25" customHeight="1">
      <c r="A27" s="16" t="s">
        <v>111</v>
      </c>
      <c r="B27" s="96">
        <v>0</v>
      </c>
      <c r="C27" s="96">
        <v>0</v>
      </c>
      <c r="D27" s="156" t="str">
        <f t="shared" si="0"/>
        <v>   </v>
      </c>
      <c r="E27" s="157">
        <f t="shared" si="1"/>
        <v>0</v>
      </c>
    </row>
    <row r="28" spans="1:5" ht="18" customHeight="1">
      <c r="A28" s="193" t="s">
        <v>10</v>
      </c>
      <c r="B28" s="168">
        <f>SUM(B7,B9,B11,B13,B18,B19,B22,B23,B26,B27,)</f>
        <v>968500</v>
      </c>
      <c r="C28" s="168">
        <f>SUM(C7,C9,C11,C13,C18,C19,C22,C23,C26,C27,)</f>
        <v>471703.95999999996</v>
      </c>
      <c r="D28" s="173">
        <f t="shared" si="0"/>
        <v>48.70459060402684</v>
      </c>
      <c r="E28" s="174">
        <f t="shared" si="1"/>
        <v>-496796.04000000004</v>
      </c>
    </row>
    <row r="29" spans="1:5" ht="18" customHeight="1">
      <c r="A29" s="165" t="s">
        <v>147</v>
      </c>
      <c r="B29" s="215">
        <f>SUM(B30:B32,B35,B38+B40)</f>
        <v>1878634.4</v>
      </c>
      <c r="C29" s="215">
        <f>SUM(C30:C32,C35,C38+C40)</f>
        <v>1166717.5999999999</v>
      </c>
      <c r="D29" s="158">
        <f t="shared" si="0"/>
        <v>62.10455850270813</v>
      </c>
      <c r="E29" s="159">
        <f t="shared" si="1"/>
        <v>-711916.8</v>
      </c>
    </row>
    <row r="30" spans="1:5" ht="16.5" customHeight="1">
      <c r="A30" s="74" t="s">
        <v>34</v>
      </c>
      <c r="B30" s="179">
        <v>714200</v>
      </c>
      <c r="C30" s="179">
        <v>475800</v>
      </c>
      <c r="D30" s="173">
        <f t="shared" si="0"/>
        <v>66.61999439932792</v>
      </c>
      <c r="E30" s="174">
        <f t="shared" si="1"/>
        <v>-238400</v>
      </c>
    </row>
    <row r="31" spans="1:5" ht="24.75" customHeight="1">
      <c r="A31" s="43" t="s">
        <v>51</v>
      </c>
      <c r="B31" s="171">
        <v>71300</v>
      </c>
      <c r="C31" s="172">
        <v>43600</v>
      </c>
      <c r="D31" s="173">
        <f t="shared" si="0"/>
        <v>61.150070126227206</v>
      </c>
      <c r="E31" s="174">
        <f t="shared" si="1"/>
        <v>-27700</v>
      </c>
    </row>
    <row r="32" spans="1:5" ht="24.75" customHeight="1">
      <c r="A32" s="43" t="s">
        <v>157</v>
      </c>
      <c r="B32" s="171">
        <f>SUM(B33:B34)</f>
        <v>1300</v>
      </c>
      <c r="C32" s="171">
        <f>SUM(C33:C34)</f>
        <v>100</v>
      </c>
      <c r="D32" s="173">
        <f t="shared" si="0"/>
        <v>7.6923076923076925</v>
      </c>
      <c r="E32" s="174">
        <f t="shared" si="1"/>
        <v>-1200</v>
      </c>
    </row>
    <row r="33" spans="1:5" ht="16.5" customHeight="1">
      <c r="A33" s="124" t="s">
        <v>176</v>
      </c>
      <c r="B33" s="171">
        <v>100</v>
      </c>
      <c r="C33" s="172">
        <v>100</v>
      </c>
      <c r="D33" s="173">
        <f>IF(B33=0,"   ",C33/B33*100)</f>
        <v>100</v>
      </c>
      <c r="E33" s="174">
        <f>C33-B33</f>
        <v>0</v>
      </c>
    </row>
    <row r="34" spans="1:5" ht="26.25" customHeight="1">
      <c r="A34" s="124" t="s">
        <v>177</v>
      </c>
      <c r="B34" s="171">
        <v>1200</v>
      </c>
      <c r="C34" s="172">
        <v>0</v>
      </c>
      <c r="D34" s="173">
        <f>IF(B34=0,"   ",C34/B34*100)</f>
        <v>0</v>
      </c>
      <c r="E34" s="174">
        <f>C34-B34</f>
        <v>-1200</v>
      </c>
    </row>
    <row r="35" spans="1:5" ht="14.25" customHeight="1">
      <c r="A35" s="43" t="s">
        <v>80</v>
      </c>
      <c r="B35" s="171">
        <f>B36+B37</f>
        <v>836334.4</v>
      </c>
      <c r="C35" s="171">
        <f>C36+C37</f>
        <v>604156.4</v>
      </c>
      <c r="D35" s="173">
        <f t="shared" si="0"/>
        <v>72.23861651511643</v>
      </c>
      <c r="E35" s="174">
        <f t="shared" si="1"/>
        <v>-232178</v>
      </c>
    </row>
    <row r="36" spans="1:5" ht="16.5" customHeight="1">
      <c r="A36" s="43" t="s">
        <v>110</v>
      </c>
      <c r="B36" s="171">
        <v>319600</v>
      </c>
      <c r="C36" s="172">
        <v>87422</v>
      </c>
      <c r="D36" s="173">
        <f t="shared" si="0"/>
        <v>27.353566958698373</v>
      </c>
      <c r="E36" s="174">
        <f t="shared" si="1"/>
        <v>-232178</v>
      </c>
    </row>
    <row r="37" spans="1:5" ht="16.5" customHeight="1">
      <c r="A37" s="56" t="s">
        <v>226</v>
      </c>
      <c r="B37" s="171">
        <v>516734.4</v>
      </c>
      <c r="C37" s="172">
        <v>516734.4</v>
      </c>
      <c r="D37" s="173">
        <f t="shared" si="0"/>
        <v>100</v>
      </c>
      <c r="E37" s="174">
        <f t="shared" si="1"/>
        <v>0</v>
      </c>
    </row>
    <row r="38" spans="1:5" ht="16.5" customHeight="1">
      <c r="A38" s="43" t="s">
        <v>186</v>
      </c>
      <c r="B38" s="171">
        <v>0</v>
      </c>
      <c r="C38" s="172">
        <v>0</v>
      </c>
      <c r="D38" s="173" t="str">
        <f t="shared" si="0"/>
        <v>   </v>
      </c>
      <c r="E38" s="174">
        <f t="shared" si="1"/>
        <v>0</v>
      </c>
    </row>
    <row r="39" spans="1:5" ht="37.5" customHeight="1">
      <c r="A39" s="43" t="s">
        <v>104</v>
      </c>
      <c r="B39" s="171">
        <v>0</v>
      </c>
      <c r="C39" s="171">
        <v>0</v>
      </c>
      <c r="D39" s="173" t="str">
        <f t="shared" si="0"/>
        <v>   </v>
      </c>
      <c r="E39" s="174">
        <f t="shared" si="1"/>
        <v>0</v>
      </c>
    </row>
    <row r="40" spans="1:5" ht="15" customHeight="1">
      <c r="A40" s="16" t="s">
        <v>257</v>
      </c>
      <c r="B40" s="171">
        <v>255500</v>
      </c>
      <c r="C40" s="171">
        <v>43061.2</v>
      </c>
      <c r="D40" s="173">
        <f t="shared" si="0"/>
        <v>16.853698630136986</v>
      </c>
      <c r="E40" s="174">
        <f t="shared" si="1"/>
        <v>-212438.8</v>
      </c>
    </row>
    <row r="41" spans="1:5" ht="21" customHeight="1">
      <c r="A41" s="193" t="s">
        <v>11</v>
      </c>
      <c r="B41" s="168">
        <f>SUM(B28,B29,)</f>
        <v>2847134.4</v>
      </c>
      <c r="C41" s="168">
        <f>SUM(C28,C29,)</f>
        <v>1638421.5599999998</v>
      </c>
      <c r="D41" s="158">
        <f t="shared" si="0"/>
        <v>57.5463371170676</v>
      </c>
      <c r="E41" s="159">
        <f t="shared" si="1"/>
        <v>-1208712.84</v>
      </c>
    </row>
    <row r="42" spans="1:5" ht="21.75" customHeight="1">
      <c r="A42" s="194" t="s">
        <v>12</v>
      </c>
      <c r="B42" s="168"/>
      <c r="C42" s="181"/>
      <c r="D42" s="173" t="str">
        <f t="shared" si="0"/>
        <v>   </v>
      </c>
      <c r="E42" s="174">
        <f t="shared" si="1"/>
        <v>0</v>
      </c>
    </row>
    <row r="43" spans="1:5" ht="16.5" customHeight="1">
      <c r="A43" s="43" t="s">
        <v>35</v>
      </c>
      <c r="B43" s="171">
        <f>SUM(B44,B46:B47)</f>
        <v>1030800</v>
      </c>
      <c r="C43" s="171">
        <f>SUM(C44,C46:C47)</f>
        <v>490892.92</v>
      </c>
      <c r="D43" s="173">
        <f t="shared" si="0"/>
        <v>47.6225184322856</v>
      </c>
      <c r="E43" s="174">
        <f t="shared" si="1"/>
        <v>-539907.0800000001</v>
      </c>
    </row>
    <row r="44" spans="1:5" ht="13.5" customHeight="1">
      <c r="A44" s="43" t="s">
        <v>36</v>
      </c>
      <c r="B44" s="171">
        <v>1030300</v>
      </c>
      <c r="C44" s="171">
        <v>490892.92</v>
      </c>
      <c r="D44" s="173">
        <f t="shared" si="0"/>
        <v>47.64562942832185</v>
      </c>
      <c r="E44" s="174">
        <f t="shared" si="1"/>
        <v>-539407.0800000001</v>
      </c>
    </row>
    <row r="45" spans="1:5" ht="12.75">
      <c r="A45" s="43" t="s">
        <v>123</v>
      </c>
      <c r="B45" s="171">
        <v>717400</v>
      </c>
      <c r="C45" s="181">
        <v>344200</v>
      </c>
      <c r="D45" s="173">
        <f t="shared" si="0"/>
        <v>47.97881237803178</v>
      </c>
      <c r="E45" s="174">
        <f t="shared" si="1"/>
        <v>-373200</v>
      </c>
    </row>
    <row r="46" spans="1:5" ht="12.75">
      <c r="A46" s="43" t="s">
        <v>96</v>
      </c>
      <c r="B46" s="171">
        <v>500</v>
      </c>
      <c r="C46" s="172">
        <v>0</v>
      </c>
      <c r="D46" s="173">
        <f t="shared" si="0"/>
        <v>0</v>
      </c>
      <c r="E46" s="174">
        <f t="shared" si="1"/>
        <v>-500</v>
      </c>
    </row>
    <row r="47" spans="1:5" ht="12.75">
      <c r="A47" s="43" t="s">
        <v>52</v>
      </c>
      <c r="B47" s="172">
        <f>SUM(B48)</f>
        <v>0</v>
      </c>
      <c r="C47" s="172">
        <f>SUM(C48)</f>
        <v>0</v>
      </c>
      <c r="D47" s="173" t="str">
        <f t="shared" si="0"/>
        <v>   </v>
      </c>
      <c r="E47" s="174">
        <f t="shared" si="1"/>
        <v>0</v>
      </c>
    </row>
    <row r="48" spans="1:5" ht="25.5">
      <c r="A48" s="120" t="s">
        <v>166</v>
      </c>
      <c r="B48" s="171">
        <v>0</v>
      </c>
      <c r="C48" s="172">
        <v>0</v>
      </c>
      <c r="D48" s="173" t="str">
        <f t="shared" si="0"/>
        <v>   </v>
      </c>
      <c r="E48" s="174">
        <f t="shared" si="1"/>
        <v>0</v>
      </c>
    </row>
    <row r="49" spans="1:5" ht="16.5" customHeight="1">
      <c r="A49" s="43" t="s">
        <v>49</v>
      </c>
      <c r="B49" s="172">
        <f>SUM(B50)</f>
        <v>71300</v>
      </c>
      <c r="C49" s="172">
        <f>SUM(C50)</f>
        <v>23297.14</v>
      </c>
      <c r="D49" s="173">
        <f t="shared" si="0"/>
        <v>32.674810659186534</v>
      </c>
      <c r="E49" s="174">
        <f t="shared" si="1"/>
        <v>-48002.86</v>
      </c>
    </row>
    <row r="50" spans="1:5" ht="17.25" customHeight="1">
      <c r="A50" s="41" t="s">
        <v>108</v>
      </c>
      <c r="B50" s="171">
        <v>71300</v>
      </c>
      <c r="C50" s="172">
        <v>23297.14</v>
      </c>
      <c r="D50" s="173">
        <f t="shared" si="0"/>
        <v>32.674810659186534</v>
      </c>
      <c r="E50" s="174">
        <f t="shared" si="1"/>
        <v>-48002.86</v>
      </c>
    </row>
    <row r="51" spans="1:5" ht="22.5" customHeight="1">
      <c r="A51" s="43" t="s">
        <v>37</v>
      </c>
      <c r="B51" s="171">
        <f>SUM(B52)</f>
        <v>400</v>
      </c>
      <c r="C51" s="172">
        <f>SUM(C52)</f>
        <v>0</v>
      </c>
      <c r="D51" s="173">
        <f t="shared" si="0"/>
        <v>0</v>
      </c>
      <c r="E51" s="174">
        <f t="shared" si="1"/>
        <v>-400</v>
      </c>
    </row>
    <row r="52" spans="1:5" ht="17.25" customHeight="1">
      <c r="A52" s="87" t="s">
        <v>130</v>
      </c>
      <c r="B52" s="171">
        <v>400</v>
      </c>
      <c r="C52" s="172">
        <v>0</v>
      </c>
      <c r="D52" s="173">
        <f t="shared" si="0"/>
        <v>0</v>
      </c>
      <c r="E52" s="174">
        <f t="shared" si="1"/>
        <v>-400</v>
      </c>
    </row>
    <row r="53" spans="1:5" ht="18.75" customHeight="1">
      <c r="A53" s="43" t="s">
        <v>38</v>
      </c>
      <c r="B53" s="171">
        <f>B57+B54</f>
        <v>432700</v>
      </c>
      <c r="C53" s="171">
        <f>C57+C54</f>
        <v>118030</v>
      </c>
      <c r="D53" s="173">
        <f t="shared" si="0"/>
        <v>27.277559510053155</v>
      </c>
      <c r="E53" s="174">
        <f t="shared" si="1"/>
        <v>-314670</v>
      </c>
    </row>
    <row r="54" spans="1:5" ht="18.75" customHeight="1">
      <c r="A54" s="87" t="s">
        <v>178</v>
      </c>
      <c r="B54" s="25">
        <f>SUM(B55,B56)</f>
        <v>1200</v>
      </c>
      <c r="C54" s="25">
        <f>SUM(C55,C56)</f>
        <v>0</v>
      </c>
      <c r="D54" s="173">
        <f>IF(B54=0,"   ",C54/B54*100)</f>
        <v>0</v>
      </c>
      <c r="E54" s="174">
        <f>C54-B54</f>
        <v>-1200</v>
      </c>
    </row>
    <row r="55" spans="1:5" ht="18.75" customHeight="1">
      <c r="A55" s="87" t="s">
        <v>179</v>
      </c>
      <c r="B55" s="25">
        <v>1200</v>
      </c>
      <c r="C55" s="171">
        <v>0</v>
      </c>
      <c r="D55" s="173">
        <f>IF(B55=0,"   ",C55/B55*100)</f>
        <v>0</v>
      </c>
      <c r="E55" s="174">
        <f>C55-B55</f>
        <v>-1200</v>
      </c>
    </row>
    <row r="56" spans="1:5" ht="18.75" customHeight="1">
      <c r="A56" s="87" t="s">
        <v>229</v>
      </c>
      <c r="B56" s="25">
        <v>0</v>
      </c>
      <c r="C56" s="171">
        <v>0</v>
      </c>
      <c r="D56" s="173"/>
      <c r="E56" s="174"/>
    </row>
    <row r="57" spans="1:5" ht="12.75">
      <c r="A57" s="111" t="s">
        <v>134</v>
      </c>
      <c r="B57" s="171">
        <f>B58+B60+B61+B59</f>
        <v>431500</v>
      </c>
      <c r="C57" s="171">
        <f>C58+C60+C61+C59</f>
        <v>118030</v>
      </c>
      <c r="D57" s="173">
        <f t="shared" si="0"/>
        <v>27.353418308227113</v>
      </c>
      <c r="E57" s="174">
        <f t="shared" si="1"/>
        <v>-313470</v>
      </c>
    </row>
    <row r="58" spans="1:5" ht="16.5" customHeight="1">
      <c r="A58" s="87" t="s">
        <v>148</v>
      </c>
      <c r="B58" s="171">
        <v>0</v>
      </c>
      <c r="C58" s="171">
        <v>0</v>
      </c>
      <c r="D58" s="173" t="str">
        <f t="shared" si="0"/>
        <v>   </v>
      </c>
      <c r="E58" s="174">
        <f t="shared" si="1"/>
        <v>0</v>
      </c>
    </row>
    <row r="59" spans="1:5" ht="13.5" customHeight="1">
      <c r="A59" s="87" t="s">
        <v>158</v>
      </c>
      <c r="B59" s="171">
        <v>0</v>
      </c>
      <c r="C59" s="171">
        <v>0</v>
      </c>
      <c r="D59" s="173" t="str">
        <f>IF(B59=0,"   ",C59/B59*100)</f>
        <v>   </v>
      </c>
      <c r="E59" s="174">
        <f>C59-B59</f>
        <v>0</v>
      </c>
    </row>
    <row r="60" spans="1:5" ht="25.5">
      <c r="A60" s="82" t="s">
        <v>135</v>
      </c>
      <c r="B60" s="171">
        <v>319600</v>
      </c>
      <c r="C60" s="171">
        <v>87422</v>
      </c>
      <c r="D60" s="173">
        <f t="shared" si="0"/>
        <v>27.353566958698373</v>
      </c>
      <c r="E60" s="174">
        <f t="shared" si="1"/>
        <v>-232178</v>
      </c>
    </row>
    <row r="61" spans="1:5" ht="25.5">
      <c r="A61" s="82" t="s">
        <v>136</v>
      </c>
      <c r="B61" s="171">
        <v>111900</v>
      </c>
      <c r="C61" s="171">
        <v>30608</v>
      </c>
      <c r="D61" s="173">
        <f t="shared" si="0"/>
        <v>27.352993744414654</v>
      </c>
      <c r="E61" s="174">
        <f t="shared" si="1"/>
        <v>-81292</v>
      </c>
    </row>
    <row r="62" spans="1:5" ht="21.75" customHeight="1">
      <c r="A62" s="43" t="s">
        <v>13</v>
      </c>
      <c r="B62" s="171">
        <f>B68+B63</f>
        <v>1056434.4</v>
      </c>
      <c r="C62" s="171">
        <f>C68+C63</f>
        <v>593983.11</v>
      </c>
      <c r="D62" s="173">
        <f t="shared" si="0"/>
        <v>56.225271536027236</v>
      </c>
      <c r="E62" s="174">
        <f t="shared" si="1"/>
        <v>-462451.2899999999</v>
      </c>
    </row>
    <row r="63" spans="1:5" ht="17.25" customHeight="1">
      <c r="A63" s="43" t="s">
        <v>159</v>
      </c>
      <c r="B63" s="171">
        <f>B64</f>
        <v>889234.4</v>
      </c>
      <c r="C63" s="171">
        <f>C64</f>
        <v>559795.6</v>
      </c>
      <c r="D63" s="173">
        <f>IF(B63=0,"   ",C63/B63*100)</f>
        <v>62.952535349509645</v>
      </c>
      <c r="E63" s="174">
        <f>C63-B63</f>
        <v>-329438.80000000005</v>
      </c>
    </row>
    <row r="64" spans="1:5" ht="17.25" customHeight="1">
      <c r="A64" s="120" t="s">
        <v>267</v>
      </c>
      <c r="B64" s="171">
        <f>SUM(B65:B67)</f>
        <v>889234.4</v>
      </c>
      <c r="C64" s="171">
        <f>SUM(C65:C67)</f>
        <v>559795.6</v>
      </c>
      <c r="D64" s="173">
        <f>IF(B64=0,"   ",C64/B64*100)</f>
        <v>62.952535349509645</v>
      </c>
      <c r="E64" s="174">
        <f>C64-B64</f>
        <v>-329438.80000000005</v>
      </c>
    </row>
    <row r="65" spans="1:5" ht="27.75" customHeight="1">
      <c r="A65" s="120" t="s">
        <v>225</v>
      </c>
      <c r="B65" s="172">
        <v>516734.4</v>
      </c>
      <c r="C65" s="172">
        <v>516734.4</v>
      </c>
      <c r="D65" s="173">
        <f>IF(B65=0,"   ",C65/B65*100)</f>
        <v>100</v>
      </c>
      <c r="E65" s="174">
        <f>C65-B65</f>
        <v>0</v>
      </c>
    </row>
    <row r="66" spans="1:5" ht="27.75" customHeight="1">
      <c r="A66" s="120" t="s">
        <v>258</v>
      </c>
      <c r="B66" s="172">
        <v>325900</v>
      </c>
      <c r="C66" s="172"/>
      <c r="D66" s="173"/>
      <c r="E66" s="174"/>
    </row>
    <row r="67" spans="1:5" ht="22.5" customHeight="1">
      <c r="A67" s="120" t="s">
        <v>273</v>
      </c>
      <c r="B67" s="172">
        <v>46600</v>
      </c>
      <c r="C67" s="172">
        <v>43061.2</v>
      </c>
      <c r="D67" s="173">
        <f>IF(B67=0,"   ",C67/B67*100)</f>
        <v>92.40600858369098</v>
      </c>
      <c r="E67" s="174">
        <f>C67-B67</f>
        <v>-3538.800000000003</v>
      </c>
    </row>
    <row r="68" spans="1:5" ht="12.75">
      <c r="A68" s="43" t="s">
        <v>63</v>
      </c>
      <c r="B68" s="171">
        <f>B69+B70+B72+B71</f>
        <v>167200</v>
      </c>
      <c r="C68" s="171">
        <f>C69+C70+C72+C71</f>
        <v>34187.51</v>
      </c>
      <c r="D68" s="173">
        <f t="shared" si="0"/>
        <v>20.447075358851677</v>
      </c>
      <c r="E68" s="174">
        <f t="shared" si="1"/>
        <v>-133012.49</v>
      </c>
    </row>
    <row r="69" spans="1:5" ht="12.75">
      <c r="A69" s="43" t="s">
        <v>62</v>
      </c>
      <c r="B69" s="171">
        <v>124700</v>
      </c>
      <c r="C69" s="172">
        <v>25595.83</v>
      </c>
      <c r="D69" s="173">
        <f t="shared" si="0"/>
        <v>20.525926222935045</v>
      </c>
      <c r="E69" s="174">
        <f t="shared" si="1"/>
        <v>-99104.17</v>
      </c>
    </row>
    <row r="70" spans="1:5" ht="12.75">
      <c r="A70" s="43" t="s">
        <v>133</v>
      </c>
      <c r="B70" s="171">
        <v>42500</v>
      </c>
      <c r="C70" s="171">
        <v>8591.68</v>
      </c>
      <c r="D70" s="173">
        <f t="shared" si="0"/>
        <v>20.215717647058824</v>
      </c>
      <c r="E70" s="174">
        <f t="shared" si="1"/>
        <v>-33908.32</v>
      </c>
    </row>
    <row r="71" spans="1:5" ht="12.75">
      <c r="A71" s="16" t="s">
        <v>95</v>
      </c>
      <c r="B71" s="171">
        <v>0</v>
      </c>
      <c r="C71" s="171">
        <v>0</v>
      </c>
      <c r="D71" s="173" t="str">
        <f t="shared" si="0"/>
        <v>   </v>
      </c>
      <c r="E71" s="174">
        <f t="shared" si="1"/>
        <v>0</v>
      </c>
    </row>
    <row r="72" spans="1:5" ht="25.5">
      <c r="A72" s="120" t="s">
        <v>180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21.75" customHeight="1">
      <c r="A73" s="18" t="s">
        <v>17</v>
      </c>
      <c r="B73" s="171">
        <v>8000</v>
      </c>
      <c r="C73" s="171">
        <v>0</v>
      </c>
      <c r="D73" s="173">
        <f t="shared" si="0"/>
        <v>0</v>
      </c>
      <c r="E73" s="174">
        <f t="shared" si="1"/>
        <v>-8000</v>
      </c>
    </row>
    <row r="74" spans="1:5" ht="22.5" customHeight="1">
      <c r="A74" s="43" t="s">
        <v>41</v>
      </c>
      <c r="B74" s="179">
        <f>B75</f>
        <v>360500</v>
      </c>
      <c r="C74" s="179">
        <f>C75</f>
        <v>360500</v>
      </c>
      <c r="D74" s="173">
        <f t="shared" si="0"/>
        <v>100</v>
      </c>
      <c r="E74" s="174">
        <f t="shared" si="1"/>
        <v>0</v>
      </c>
    </row>
    <row r="75" spans="1:5" ht="12.75">
      <c r="A75" s="43" t="s">
        <v>42</v>
      </c>
      <c r="B75" s="171">
        <v>360500</v>
      </c>
      <c r="C75" s="172">
        <v>360500</v>
      </c>
      <c r="D75" s="173">
        <f t="shared" si="0"/>
        <v>100</v>
      </c>
      <c r="E75" s="174">
        <f t="shared" si="1"/>
        <v>0</v>
      </c>
    </row>
    <row r="76" spans="1:5" ht="16.5" customHeight="1">
      <c r="A76" s="43" t="s">
        <v>125</v>
      </c>
      <c r="B76" s="171">
        <f>SUM(B77,)</f>
        <v>4000</v>
      </c>
      <c r="C76" s="171">
        <f>SUM(C77,)</f>
        <v>0</v>
      </c>
      <c r="D76" s="173">
        <f t="shared" si="0"/>
        <v>0</v>
      </c>
      <c r="E76" s="174">
        <f t="shared" si="1"/>
        <v>-4000</v>
      </c>
    </row>
    <row r="77" spans="1:5" ht="12.75">
      <c r="A77" s="43" t="s">
        <v>43</v>
      </c>
      <c r="B77" s="171">
        <v>4000</v>
      </c>
      <c r="C77" s="181">
        <v>0</v>
      </c>
      <c r="D77" s="173">
        <f t="shared" si="0"/>
        <v>0</v>
      </c>
      <c r="E77" s="174">
        <f t="shared" si="1"/>
        <v>-4000</v>
      </c>
    </row>
    <row r="78" spans="1:5" ht="28.5" customHeight="1">
      <c r="A78" s="193" t="s">
        <v>15</v>
      </c>
      <c r="B78" s="168">
        <f>SUM(B43,B49,B51,B53,B62,B73,B74,B76,)</f>
        <v>2964134.4</v>
      </c>
      <c r="C78" s="168">
        <f>SUM(C43,C49,C51,C53,C62,C73,C74,C76,)</f>
        <v>1586703.17</v>
      </c>
      <c r="D78" s="158">
        <f>IF(B78=0,"   ",C78/B78*100)</f>
        <v>53.53006833968122</v>
      </c>
      <c r="E78" s="159">
        <f t="shared" si="1"/>
        <v>-1377431.23</v>
      </c>
    </row>
    <row r="79" spans="1:5" s="69" customFormat="1" ht="23.25" customHeight="1">
      <c r="A79" s="92" t="s">
        <v>311</v>
      </c>
      <c r="B79" s="92"/>
      <c r="C79" s="244"/>
      <c r="D79" s="244"/>
      <c r="E79" s="244"/>
    </row>
    <row r="80" spans="1:5" s="69" customFormat="1" ht="12" customHeight="1">
      <c r="A80" s="92" t="s">
        <v>165</v>
      </c>
      <c r="B80" s="92"/>
      <c r="C80" s="93" t="s">
        <v>312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1">
      <selection activeCell="A125" sqref="A125:E126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46" t="s">
        <v>299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245</v>
      </c>
      <c r="C4" s="32" t="s">
        <v>293</v>
      </c>
      <c r="D4" s="19" t="s">
        <v>248</v>
      </c>
      <c r="E4" s="36" t="s">
        <v>247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9" t="s">
        <v>45</v>
      </c>
      <c r="B7" s="166">
        <f>SUM(B8)</f>
        <v>9196500</v>
      </c>
      <c r="C7" s="166">
        <f>SUM(C8)</f>
        <v>5823393.87</v>
      </c>
      <c r="D7" s="156">
        <f aca="true" t="shared" si="0" ref="D7:D102">IF(B7=0,"   ",C7/B7*100)</f>
        <v>63.32184929049095</v>
      </c>
      <c r="E7" s="157">
        <f aca="true" t="shared" si="1" ref="E7:E124">C7-B7</f>
        <v>-3373106.13</v>
      </c>
    </row>
    <row r="8" spans="1:5" ht="12.75">
      <c r="A8" s="97" t="s">
        <v>44</v>
      </c>
      <c r="B8" s="96">
        <v>9196500</v>
      </c>
      <c r="C8" s="170">
        <v>5823393.87</v>
      </c>
      <c r="D8" s="156">
        <f t="shared" si="0"/>
        <v>63.32184929049095</v>
      </c>
      <c r="E8" s="157">
        <f t="shared" si="1"/>
        <v>-3373106.13</v>
      </c>
    </row>
    <row r="9" spans="1:5" ht="18.75" customHeight="1">
      <c r="A9" s="169" t="s">
        <v>144</v>
      </c>
      <c r="B9" s="166">
        <f>SUM(B10)</f>
        <v>1016100</v>
      </c>
      <c r="C9" s="166">
        <f>SUM(C10)</f>
        <v>687018.48</v>
      </c>
      <c r="D9" s="156">
        <f t="shared" si="0"/>
        <v>67.61327428402716</v>
      </c>
      <c r="E9" s="157">
        <f t="shared" si="1"/>
        <v>-329081.52</v>
      </c>
    </row>
    <row r="10" spans="1:5" ht="12.75">
      <c r="A10" s="97" t="s">
        <v>145</v>
      </c>
      <c r="B10" s="96">
        <v>1016100</v>
      </c>
      <c r="C10" s="170">
        <v>687018.48</v>
      </c>
      <c r="D10" s="156">
        <f t="shared" si="0"/>
        <v>67.61327428402716</v>
      </c>
      <c r="E10" s="157">
        <f t="shared" si="1"/>
        <v>-329081.52</v>
      </c>
    </row>
    <row r="11" spans="1:5" ht="17.25" customHeight="1">
      <c r="A11" s="97" t="s">
        <v>7</v>
      </c>
      <c r="B11" s="96">
        <f>SUM(B12:B12)</f>
        <v>4200</v>
      </c>
      <c r="C11" s="166">
        <f>SUM(C12)</f>
        <v>3053.26</v>
      </c>
      <c r="D11" s="156">
        <f t="shared" si="0"/>
        <v>72.69666666666667</v>
      </c>
      <c r="E11" s="157">
        <f t="shared" si="1"/>
        <v>-1146.7399999999998</v>
      </c>
    </row>
    <row r="12" spans="1:5" ht="12.75">
      <c r="A12" s="97" t="s">
        <v>26</v>
      </c>
      <c r="B12" s="96">
        <v>4200</v>
      </c>
      <c r="C12" s="170">
        <v>3053.26</v>
      </c>
      <c r="D12" s="156">
        <f t="shared" si="0"/>
        <v>72.69666666666667</v>
      </c>
      <c r="E12" s="157">
        <f t="shared" si="1"/>
        <v>-1146.7399999999998</v>
      </c>
    </row>
    <row r="13" spans="1:5" ht="16.5" customHeight="1">
      <c r="A13" s="97" t="s">
        <v>9</v>
      </c>
      <c r="B13" s="96">
        <f>SUM(B14:B15)</f>
        <v>4180000</v>
      </c>
      <c r="C13" s="96">
        <f>SUM(C14:C15)</f>
        <v>1464601.48</v>
      </c>
      <c r="D13" s="156">
        <f t="shared" si="0"/>
        <v>35.03831291866029</v>
      </c>
      <c r="E13" s="157">
        <f t="shared" si="1"/>
        <v>-2715398.52</v>
      </c>
    </row>
    <row r="14" spans="1:5" ht="12.75">
      <c r="A14" s="97" t="s">
        <v>27</v>
      </c>
      <c r="B14" s="96">
        <v>1408000</v>
      </c>
      <c r="C14" s="170">
        <v>412866.29</v>
      </c>
      <c r="D14" s="156">
        <f t="shared" si="0"/>
        <v>29.322889914772727</v>
      </c>
      <c r="E14" s="157">
        <f t="shared" si="1"/>
        <v>-995133.71</v>
      </c>
    </row>
    <row r="15" spans="1:5" ht="12.75">
      <c r="A15" s="43" t="s">
        <v>173</v>
      </c>
      <c r="B15" s="31">
        <f>SUM(B16:B17)</f>
        <v>2772000</v>
      </c>
      <c r="C15" s="31">
        <f>SUM(C16:C17)</f>
        <v>1051735.19</v>
      </c>
      <c r="D15" s="156">
        <f t="shared" si="0"/>
        <v>37.94138492063492</v>
      </c>
      <c r="E15" s="157">
        <f t="shared" si="1"/>
        <v>-1720264.81</v>
      </c>
    </row>
    <row r="16" spans="1:5" ht="12.75">
      <c r="A16" s="43" t="s">
        <v>174</v>
      </c>
      <c r="B16" s="96">
        <v>986800</v>
      </c>
      <c r="C16" s="170">
        <v>611090.61</v>
      </c>
      <c r="D16" s="156">
        <f t="shared" si="0"/>
        <v>61.92649067693555</v>
      </c>
      <c r="E16" s="157">
        <f t="shared" si="1"/>
        <v>-375709.39</v>
      </c>
    </row>
    <row r="17" spans="1:5" ht="12.75">
      <c r="A17" s="43" t="s">
        <v>175</v>
      </c>
      <c r="B17" s="96">
        <v>1785200</v>
      </c>
      <c r="C17" s="170">
        <v>440644.58</v>
      </c>
      <c r="D17" s="156">
        <f t="shared" si="0"/>
        <v>24.683205243110017</v>
      </c>
      <c r="E17" s="157">
        <f t="shared" si="1"/>
        <v>-1344555.42</v>
      </c>
    </row>
    <row r="18" spans="1:5" ht="25.5">
      <c r="A18" s="97" t="s">
        <v>89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7" customHeight="1">
      <c r="A19" s="97" t="s">
        <v>28</v>
      </c>
      <c r="B19" s="96">
        <f>SUM(B20:B23)</f>
        <v>4306300</v>
      </c>
      <c r="C19" s="96">
        <f>SUM(C20:C23)</f>
        <v>1311270.6400000001</v>
      </c>
      <c r="D19" s="156">
        <f t="shared" si="0"/>
        <v>30.45005317790215</v>
      </c>
      <c r="E19" s="157">
        <f t="shared" si="1"/>
        <v>-2995029.36</v>
      </c>
    </row>
    <row r="20" spans="1:5" ht="12.75">
      <c r="A20" s="98" t="s">
        <v>164</v>
      </c>
      <c r="B20" s="171">
        <v>872000</v>
      </c>
      <c r="C20" s="172">
        <v>859181.67</v>
      </c>
      <c r="D20" s="173">
        <f t="shared" si="0"/>
        <v>98.53000802752294</v>
      </c>
      <c r="E20" s="174">
        <f t="shared" si="1"/>
        <v>-12818.329999999958</v>
      </c>
    </row>
    <row r="21" spans="1:5" ht="12.75">
      <c r="A21" s="43" t="s">
        <v>163</v>
      </c>
      <c r="B21" s="171">
        <v>1506300</v>
      </c>
      <c r="C21" s="172">
        <v>0</v>
      </c>
      <c r="D21" s="173">
        <f t="shared" si="0"/>
        <v>0</v>
      </c>
      <c r="E21" s="174">
        <f t="shared" si="1"/>
        <v>-1506300</v>
      </c>
    </row>
    <row r="22" spans="1:5" ht="24" customHeight="1">
      <c r="A22" s="175" t="s">
        <v>30</v>
      </c>
      <c r="B22" s="171">
        <v>938000</v>
      </c>
      <c r="C22" s="172">
        <v>7565.67</v>
      </c>
      <c r="D22" s="173">
        <f t="shared" si="0"/>
        <v>0.8065746268656717</v>
      </c>
      <c r="E22" s="174">
        <f t="shared" si="1"/>
        <v>-930434.33</v>
      </c>
    </row>
    <row r="23" spans="1:5" ht="42" customHeight="1">
      <c r="A23" s="16" t="s">
        <v>260</v>
      </c>
      <c r="B23" s="171">
        <v>990000</v>
      </c>
      <c r="C23" s="172">
        <v>444523.3</v>
      </c>
      <c r="D23" s="173">
        <f t="shared" si="0"/>
        <v>44.90134343434343</v>
      </c>
      <c r="E23" s="174">
        <f t="shared" si="1"/>
        <v>-545476.7</v>
      </c>
    </row>
    <row r="24" spans="1:5" ht="19.5" customHeight="1">
      <c r="A24" s="41" t="s">
        <v>92</v>
      </c>
      <c r="B24" s="171">
        <v>0</v>
      </c>
      <c r="C24" s="172">
        <v>0</v>
      </c>
      <c r="D24" s="173" t="str">
        <f t="shared" si="0"/>
        <v>   </v>
      </c>
      <c r="E24" s="174">
        <f t="shared" si="1"/>
        <v>0</v>
      </c>
    </row>
    <row r="25" spans="1:5" ht="15.75" customHeight="1">
      <c r="A25" s="175" t="s">
        <v>76</v>
      </c>
      <c r="B25" s="171">
        <f>SUM(B26:B27)</f>
        <v>262800</v>
      </c>
      <c r="C25" s="171">
        <f>SUM(C26:C27)</f>
        <v>284709.69</v>
      </c>
      <c r="D25" s="173">
        <f t="shared" si="0"/>
        <v>108.3370205479452</v>
      </c>
      <c r="E25" s="174">
        <f t="shared" si="1"/>
        <v>21909.690000000002</v>
      </c>
    </row>
    <row r="26" spans="1:5" ht="15.75" customHeight="1">
      <c r="A26" s="16" t="s">
        <v>261</v>
      </c>
      <c r="B26" s="171">
        <v>0</v>
      </c>
      <c r="C26" s="171">
        <v>0</v>
      </c>
      <c r="D26" s="173" t="str">
        <f t="shared" si="0"/>
        <v>   </v>
      </c>
      <c r="E26" s="174">
        <f t="shared" si="1"/>
        <v>0</v>
      </c>
    </row>
    <row r="27" spans="1:5" ht="25.5" customHeight="1">
      <c r="A27" s="16" t="s">
        <v>287</v>
      </c>
      <c r="B27" s="171">
        <v>262800</v>
      </c>
      <c r="C27" s="172">
        <v>284709.69</v>
      </c>
      <c r="D27" s="173">
        <f t="shared" si="0"/>
        <v>108.3370205479452</v>
      </c>
      <c r="E27" s="174">
        <f t="shared" si="1"/>
        <v>21909.690000000002</v>
      </c>
    </row>
    <row r="28" spans="1:5" ht="15" customHeight="1">
      <c r="A28" s="175" t="s">
        <v>31</v>
      </c>
      <c r="B28" s="171">
        <v>5100</v>
      </c>
      <c r="C28" s="171">
        <v>5100</v>
      </c>
      <c r="D28" s="173">
        <f t="shared" si="0"/>
        <v>100</v>
      </c>
      <c r="E28" s="174">
        <f t="shared" si="1"/>
        <v>0</v>
      </c>
    </row>
    <row r="29" spans="1:5" ht="12.75">
      <c r="A29" s="175" t="s">
        <v>32</v>
      </c>
      <c r="B29" s="171">
        <f>B30+B31</f>
        <v>0</v>
      </c>
      <c r="C29" s="171">
        <f>C30+C31</f>
        <v>-73108</v>
      </c>
      <c r="D29" s="173" t="str">
        <f t="shared" si="0"/>
        <v>   </v>
      </c>
      <c r="E29" s="174">
        <f t="shared" si="1"/>
        <v>-73108</v>
      </c>
    </row>
    <row r="30" spans="1:5" ht="13.5" customHeight="1">
      <c r="A30" s="175" t="s">
        <v>46</v>
      </c>
      <c r="B30" s="171">
        <v>0</v>
      </c>
      <c r="C30" s="171">
        <v>-73108</v>
      </c>
      <c r="D30" s="173" t="str">
        <f t="shared" si="0"/>
        <v>   </v>
      </c>
      <c r="E30" s="174">
        <f t="shared" si="1"/>
        <v>-73108</v>
      </c>
    </row>
    <row r="31" spans="1:5" ht="15.75" customHeight="1">
      <c r="A31" s="175" t="s">
        <v>111</v>
      </c>
      <c r="B31" s="171">
        <v>0</v>
      </c>
      <c r="C31" s="172">
        <v>0</v>
      </c>
      <c r="D31" s="173" t="str">
        <f t="shared" si="0"/>
        <v>   </v>
      </c>
      <c r="E31" s="174">
        <f t="shared" si="1"/>
        <v>0</v>
      </c>
    </row>
    <row r="32" spans="1:5" ht="15" customHeight="1">
      <c r="A32" s="176" t="s">
        <v>10</v>
      </c>
      <c r="B32" s="168">
        <f>SUM(B7,B9,B11,B13,B19,B25,B28,B29,)</f>
        <v>18971000</v>
      </c>
      <c r="C32" s="168">
        <f>SUM(C7,C9,C11,C13,C18,C19,C24,C25,C28,C29,)</f>
        <v>9506039.42</v>
      </c>
      <c r="D32" s="173">
        <f t="shared" si="0"/>
        <v>50.10826746086131</v>
      </c>
      <c r="E32" s="174">
        <f t="shared" si="1"/>
        <v>-9464960.58</v>
      </c>
    </row>
    <row r="33" spans="1:5" ht="18" customHeight="1">
      <c r="A33" s="177" t="s">
        <v>147</v>
      </c>
      <c r="B33" s="215">
        <f>B34+B35+B36+B39+B40+B41+B42+B45</f>
        <v>14413345.18</v>
      </c>
      <c r="C33" s="215">
        <f>C34+C35+C36+C39+C40+C41+C45+C42</f>
        <v>12550170.78</v>
      </c>
      <c r="D33" s="158">
        <f t="shared" si="0"/>
        <v>87.07326871914962</v>
      </c>
      <c r="E33" s="159">
        <f t="shared" si="1"/>
        <v>-1863174.4000000004</v>
      </c>
    </row>
    <row r="34" spans="1:5" ht="15" customHeight="1">
      <c r="A34" s="178" t="s">
        <v>34</v>
      </c>
      <c r="B34" s="179">
        <v>5089900</v>
      </c>
      <c r="C34" s="179">
        <v>3389700</v>
      </c>
      <c r="D34" s="173">
        <f t="shared" si="0"/>
        <v>66.59659325330557</v>
      </c>
      <c r="E34" s="174">
        <f t="shared" si="1"/>
        <v>-1700200</v>
      </c>
    </row>
    <row r="35" spans="1:5" ht="24.75" customHeight="1">
      <c r="A35" s="175" t="s">
        <v>51</v>
      </c>
      <c r="B35" s="171">
        <v>285000</v>
      </c>
      <c r="C35" s="172">
        <v>263120</v>
      </c>
      <c r="D35" s="173">
        <f t="shared" si="0"/>
        <v>92.32280701754387</v>
      </c>
      <c r="E35" s="174">
        <f t="shared" si="1"/>
        <v>-21880</v>
      </c>
    </row>
    <row r="36" spans="1:5" ht="24.75" customHeight="1">
      <c r="A36" s="175" t="s">
        <v>157</v>
      </c>
      <c r="B36" s="171">
        <f>SUM(B37:B38)</f>
        <v>11900</v>
      </c>
      <c r="C36" s="171">
        <f>SUM(C37:C38)</f>
        <v>6222.6</v>
      </c>
      <c r="D36" s="173">
        <f t="shared" si="0"/>
        <v>52.29075630252101</v>
      </c>
      <c r="E36" s="174">
        <f t="shared" si="1"/>
        <v>-5677.4</v>
      </c>
    </row>
    <row r="37" spans="1:5" ht="13.5" customHeight="1">
      <c r="A37" s="124" t="s">
        <v>176</v>
      </c>
      <c r="B37" s="171">
        <v>900</v>
      </c>
      <c r="C37" s="172">
        <v>0</v>
      </c>
      <c r="D37" s="173">
        <f>IF(B37=0,"   ",C37/B37*100)</f>
        <v>0</v>
      </c>
      <c r="E37" s="174">
        <f>C37-B37</f>
        <v>-900</v>
      </c>
    </row>
    <row r="38" spans="1:5" ht="24.75" customHeight="1">
      <c r="A38" s="124" t="s">
        <v>177</v>
      </c>
      <c r="B38" s="171">
        <v>11000</v>
      </c>
      <c r="C38" s="172">
        <v>6222.6</v>
      </c>
      <c r="D38" s="173">
        <f>IF(B38=0,"   ",C38/B38*100)</f>
        <v>56.56909090909091</v>
      </c>
      <c r="E38" s="174">
        <f>C38-B38</f>
        <v>-4777.4</v>
      </c>
    </row>
    <row r="39" spans="1:5" ht="42" customHeight="1">
      <c r="A39" s="175" t="s">
        <v>124</v>
      </c>
      <c r="B39" s="171">
        <v>202477</v>
      </c>
      <c r="C39" s="172">
        <v>202477</v>
      </c>
      <c r="D39" s="173">
        <f t="shared" si="0"/>
        <v>100</v>
      </c>
      <c r="E39" s="174">
        <f t="shared" si="1"/>
        <v>0</v>
      </c>
    </row>
    <row r="40" spans="1:5" ht="47.25" customHeight="1">
      <c r="A40" s="16" t="s">
        <v>306</v>
      </c>
      <c r="B40" s="213">
        <v>6407468.18</v>
      </c>
      <c r="C40" s="210">
        <v>6407468.18</v>
      </c>
      <c r="D40" s="211">
        <f>IF(B40=0,"   ",C40/B40)</f>
        <v>1</v>
      </c>
      <c r="E40" s="212">
        <f>C40-B40</f>
        <v>0</v>
      </c>
    </row>
    <row r="41" spans="1:5" ht="25.5" customHeight="1">
      <c r="A41" s="175" t="s">
        <v>142</v>
      </c>
      <c r="B41" s="171">
        <v>1615800</v>
      </c>
      <c r="C41" s="172">
        <v>1609536</v>
      </c>
      <c r="D41" s="173">
        <f t="shared" si="0"/>
        <v>99.61232825844782</v>
      </c>
      <c r="E41" s="174">
        <f t="shared" si="1"/>
        <v>-6264</v>
      </c>
    </row>
    <row r="42" spans="1:5" ht="15" customHeight="1">
      <c r="A42" s="175" t="s">
        <v>55</v>
      </c>
      <c r="B42" s="171">
        <f>B44+B43</f>
        <v>800800</v>
      </c>
      <c r="C42" s="171">
        <f>C44+C43</f>
        <v>671647</v>
      </c>
      <c r="D42" s="173">
        <f t="shared" si="0"/>
        <v>83.872002997003</v>
      </c>
      <c r="E42" s="174">
        <f t="shared" si="1"/>
        <v>-129153</v>
      </c>
    </row>
    <row r="43" spans="1:5" ht="15" customHeight="1">
      <c r="A43" s="16" t="s">
        <v>228</v>
      </c>
      <c r="B43" s="171">
        <v>42800</v>
      </c>
      <c r="C43" s="171">
        <v>42800</v>
      </c>
      <c r="D43" s="173">
        <f t="shared" si="0"/>
        <v>100</v>
      </c>
      <c r="E43" s="174">
        <f t="shared" si="1"/>
        <v>0</v>
      </c>
    </row>
    <row r="44" spans="1:5" ht="18" customHeight="1">
      <c r="A44" s="175" t="s">
        <v>110</v>
      </c>
      <c r="B44" s="171">
        <v>758000</v>
      </c>
      <c r="C44" s="172">
        <v>628847</v>
      </c>
      <c r="D44" s="173">
        <f t="shared" si="0"/>
        <v>82.96134564643799</v>
      </c>
      <c r="E44" s="174">
        <f t="shared" si="1"/>
        <v>-129153</v>
      </c>
    </row>
    <row r="45" spans="1:5" ht="18" customHeight="1">
      <c r="A45" s="175" t="s">
        <v>221</v>
      </c>
      <c r="B45" s="171">
        <v>0</v>
      </c>
      <c r="C45" s="172">
        <v>0</v>
      </c>
      <c r="D45" s="173" t="str">
        <f t="shared" si="0"/>
        <v>   </v>
      </c>
      <c r="E45" s="174">
        <f t="shared" si="1"/>
        <v>0</v>
      </c>
    </row>
    <row r="46" spans="1:5" ht="29.25" customHeight="1">
      <c r="A46" s="176" t="s">
        <v>11</v>
      </c>
      <c r="B46" s="168">
        <f>SUM(B32,B33,)</f>
        <v>33384345.18</v>
      </c>
      <c r="C46" s="168">
        <f>SUM(C32,C33,)</f>
        <v>22056210.2</v>
      </c>
      <c r="D46" s="158">
        <f t="shared" si="0"/>
        <v>66.06752380817554</v>
      </c>
      <c r="E46" s="159">
        <f t="shared" si="1"/>
        <v>-11328134.98</v>
      </c>
    </row>
    <row r="47" spans="1:5" ht="16.5" customHeight="1">
      <c r="A47" s="30"/>
      <c r="B47" s="179"/>
      <c r="C47" s="171"/>
      <c r="D47" s="173" t="str">
        <f t="shared" si="0"/>
        <v>   </v>
      </c>
      <c r="E47" s="174"/>
    </row>
    <row r="48" spans="1:5" ht="12.75">
      <c r="A48" s="180" t="s">
        <v>12</v>
      </c>
      <c r="B48" s="168"/>
      <c r="C48" s="181"/>
      <c r="D48" s="173" t="str">
        <f t="shared" si="0"/>
        <v>   </v>
      </c>
      <c r="E48" s="174"/>
    </row>
    <row r="49" spans="1:5" ht="18" customHeight="1">
      <c r="A49" s="175" t="s">
        <v>35</v>
      </c>
      <c r="B49" s="171">
        <f>SUM(B50,B52,B53)</f>
        <v>3273575</v>
      </c>
      <c r="C49" s="171">
        <f>SUM(C50,C52,C53)</f>
        <v>1864413.01</v>
      </c>
      <c r="D49" s="173">
        <f t="shared" si="0"/>
        <v>56.9534227870142</v>
      </c>
      <c r="E49" s="174">
        <f t="shared" si="1"/>
        <v>-1409161.99</v>
      </c>
    </row>
    <row r="50" spans="1:5" ht="16.5" customHeight="1">
      <c r="A50" s="175" t="s">
        <v>36</v>
      </c>
      <c r="B50" s="171">
        <v>2705175</v>
      </c>
      <c r="C50" s="172">
        <v>1757389.01</v>
      </c>
      <c r="D50" s="173">
        <f t="shared" si="0"/>
        <v>64.96396758065559</v>
      </c>
      <c r="E50" s="174">
        <f t="shared" si="1"/>
        <v>-947785.99</v>
      </c>
    </row>
    <row r="51" spans="1:5" ht="12.75">
      <c r="A51" s="175" t="s">
        <v>122</v>
      </c>
      <c r="B51" s="171">
        <v>1485375</v>
      </c>
      <c r="C51" s="181">
        <v>1023900</v>
      </c>
      <c r="D51" s="173">
        <f t="shared" si="0"/>
        <v>68.93208785660187</v>
      </c>
      <c r="E51" s="174">
        <f t="shared" si="1"/>
        <v>-461475</v>
      </c>
    </row>
    <row r="52" spans="1:5" ht="12.75">
      <c r="A52" s="175" t="s">
        <v>96</v>
      </c>
      <c r="B52" s="171">
        <v>368400</v>
      </c>
      <c r="C52" s="181">
        <v>0</v>
      </c>
      <c r="D52" s="173">
        <f t="shared" si="0"/>
        <v>0</v>
      </c>
      <c r="E52" s="174">
        <f t="shared" si="1"/>
        <v>-368400</v>
      </c>
    </row>
    <row r="53" spans="1:5" ht="12.75">
      <c r="A53" s="175" t="s">
        <v>52</v>
      </c>
      <c r="B53" s="172">
        <f>SUM(B54+B57+B55+B56)</f>
        <v>200000</v>
      </c>
      <c r="C53" s="172">
        <f>SUM(C54+C57+C55+C56)</f>
        <v>107024</v>
      </c>
      <c r="D53" s="173">
        <f t="shared" si="0"/>
        <v>53.512</v>
      </c>
      <c r="E53" s="174">
        <f t="shared" si="1"/>
        <v>-92976</v>
      </c>
    </row>
    <row r="54" spans="1:5" ht="26.25" customHeight="1">
      <c r="A54" s="120" t="s">
        <v>234</v>
      </c>
      <c r="B54" s="171">
        <v>0</v>
      </c>
      <c r="C54" s="171">
        <v>0</v>
      </c>
      <c r="D54" s="173" t="str">
        <f t="shared" si="0"/>
        <v>   </v>
      </c>
      <c r="E54" s="174">
        <f t="shared" si="1"/>
        <v>0</v>
      </c>
    </row>
    <row r="55" spans="1:5" ht="26.25" customHeight="1">
      <c r="A55" s="120" t="s">
        <v>235</v>
      </c>
      <c r="B55" s="171">
        <v>0</v>
      </c>
      <c r="C55" s="171">
        <v>0</v>
      </c>
      <c r="D55" s="173" t="str">
        <f t="shared" si="0"/>
        <v>   </v>
      </c>
      <c r="E55" s="174">
        <f t="shared" si="1"/>
        <v>0</v>
      </c>
    </row>
    <row r="56" spans="1:5" ht="26.25" customHeight="1">
      <c r="A56" s="120" t="s">
        <v>253</v>
      </c>
      <c r="B56" s="171">
        <v>200000</v>
      </c>
      <c r="C56" s="171">
        <v>107024</v>
      </c>
      <c r="D56" s="173">
        <f t="shared" si="0"/>
        <v>53.512</v>
      </c>
      <c r="E56" s="174">
        <f t="shared" si="1"/>
        <v>-92976</v>
      </c>
    </row>
    <row r="57" spans="1:5" ht="12.75">
      <c r="A57" s="16" t="s">
        <v>244</v>
      </c>
      <c r="B57" s="171">
        <v>0</v>
      </c>
      <c r="C57" s="171">
        <v>0</v>
      </c>
      <c r="D57" s="173" t="str">
        <f t="shared" si="0"/>
        <v>   </v>
      </c>
      <c r="E57" s="174">
        <f t="shared" si="1"/>
        <v>0</v>
      </c>
    </row>
    <row r="58" spans="1:5" ht="21" customHeight="1">
      <c r="A58" s="175" t="s">
        <v>49</v>
      </c>
      <c r="B58" s="172">
        <f>SUM(B59)</f>
        <v>285000</v>
      </c>
      <c r="C58" s="172">
        <f>SUM(C59)</f>
        <v>198921.16</v>
      </c>
      <c r="D58" s="173">
        <f t="shared" si="0"/>
        <v>69.79689824561403</v>
      </c>
      <c r="E58" s="174">
        <f t="shared" si="1"/>
        <v>-86078.84</v>
      </c>
    </row>
    <row r="59" spans="1:5" ht="17.25" customHeight="1">
      <c r="A59" s="175" t="s">
        <v>108</v>
      </c>
      <c r="B59" s="171">
        <v>285000</v>
      </c>
      <c r="C59" s="172">
        <v>198921.16</v>
      </c>
      <c r="D59" s="173">
        <f t="shared" si="0"/>
        <v>69.79689824561403</v>
      </c>
      <c r="E59" s="174">
        <f t="shared" si="1"/>
        <v>-86078.84</v>
      </c>
    </row>
    <row r="60" spans="1:5" ht="15.75" customHeight="1">
      <c r="A60" s="175" t="s">
        <v>37</v>
      </c>
      <c r="B60" s="172">
        <f>SUM(B61+B64)</f>
        <v>929200</v>
      </c>
      <c r="C60" s="172">
        <f>SUM(C61+C64)</f>
        <v>569076.11</v>
      </c>
      <c r="D60" s="173">
        <f t="shared" si="0"/>
        <v>61.243662290142055</v>
      </c>
      <c r="E60" s="174">
        <f t="shared" si="1"/>
        <v>-360123.89</v>
      </c>
    </row>
    <row r="61" spans="1:5" ht="27" customHeight="1">
      <c r="A61" s="175" t="s">
        <v>86</v>
      </c>
      <c r="B61" s="171">
        <f>B62</f>
        <v>875200</v>
      </c>
      <c r="C61" s="171">
        <v>569076.11</v>
      </c>
      <c r="D61" s="173">
        <f t="shared" si="0"/>
        <v>65.02240744972578</v>
      </c>
      <c r="E61" s="174">
        <f t="shared" si="1"/>
        <v>-306123.89</v>
      </c>
    </row>
    <row r="62" spans="1:5" ht="16.5" customHeight="1">
      <c r="A62" s="175" t="s">
        <v>97</v>
      </c>
      <c r="B62" s="171">
        <v>875200</v>
      </c>
      <c r="C62" s="171">
        <v>569076.11</v>
      </c>
      <c r="D62" s="173">
        <f t="shared" si="0"/>
        <v>65.02240744972578</v>
      </c>
      <c r="E62" s="174">
        <f t="shared" si="1"/>
        <v>-306123.89</v>
      </c>
    </row>
    <row r="63" spans="1:5" ht="14.25" customHeight="1">
      <c r="A63" s="175" t="s">
        <v>122</v>
      </c>
      <c r="B63" s="171">
        <v>652900</v>
      </c>
      <c r="C63" s="172">
        <v>405932.52</v>
      </c>
      <c r="D63" s="173">
        <f t="shared" si="0"/>
        <v>62.17376627354878</v>
      </c>
      <c r="E63" s="174">
        <f t="shared" si="1"/>
        <v>-246967.47999999998</v>
      </c>
    </row>
    <row r="64" spans="1:5" ht="17.25" customHeight="1">
      <c r="A64" s="175" t="s">
        <v>129</v>
      </c>
      <c r="B64" s="171">
        <v>54000</v>
      </c>
      <c r="C64" s="172">
        <v>0</v>
      </c>
      <c r="D64" s="173">
        <f t="shared" si="0"/>
        <v>0</v>
      </c>
      <c r="E64" s="174">
        <f t="shared" si="1"/>
        <v>-54000</v>
      </c>
    </row>
    <row r="65" spans="1:5" ht="18" customHeight="1">
      <c r="A65" s="175" t="s">
        <v>38</v>
      </c>
      <c r="B65" s="171">
        <f>B71+B66+B69+B88</f>
        <v>5086933</v>
      </c>
      <c r="C65" s="171">
        <f>C71+C66+C69+C88</f>
        <v>3849608.4</v>
      </c>
      <c r="D65" s="173">
        <f t="shared" si="0"/>
        <v>75.67641248665944</v>
      </c>
      <c r="E65" s="174">
        <f t="shared" si="1"/>
        <v>-1237324.6</v>
      </c>
    </row>
    <row r="66" spans="1:5" ht="18" customHeight="1">
      <c r="A66" s="87" t="s">
        <v>178</v>
      </c>
      <c r="B66" s="25">
        <f>SUM(B68,B67)</f>
        <v>71000</v>
      </c>
      <c r="C66" s="25">
        <f>SUM(C68,C67)</f>
        <v>22000</v>
      </c>
      <c r="D66" s="173">
        <f>IF(B66=0,"   ",C66/B66*100)</f>
        <v>30.985915492957744</v>
      </c>
      <c r="E66" s="174">
        <f>C66-B66</f>
        <v>-49000</v>
      </c>
    </row>
    <row r="67" spans="1:5" ht="18" customHeight="1">
      <c r="A67" s="87" t="s">
        <v>185</v>
      </c>
      <c r="B67" s="25">
        <v>60000</v>
      </c>
      <c r="C67" s="25">
        <v>16814.5</v>
      </c>
      <c r="D67" s="173">
        <f>IF(B67=0,"   ",C67/B67*100)</f>
        <v>28.024166666666666</v>
      </c>
      <c r="E67" s="174">
        <f>C67-B67</f>
        <v>-43185.5</v>
      </c>
    </row>
    <row r="68" spans="1:5" ht="18" customHeight="1">
      <c r="A68" s="87" t="s">
        <v>179</v>
      </c>
      <c r="B68" s="25">
        <v>11000</v>
      </c>
      <c r="C68" s="171">
        <v>5185.5</v>
      </c>
      <c r="D68" s="173">
        <f>IF(B68=0,"   ",C68/B68*100)</f>
        <v>47.14090909090909</v>
      </c>
      <c r="E68" s="174">
        <f>C68-B68</f>
        <v>-5814.5</v>
      </c>
    </row>
    <row r="69" spans="1:5" ht="18" customHeight="1">
      <c r="A69" s="87" t="s">
        <v>200</v>
      </c>
      <c r="B69" s="25">
        <f>SUM(B70)</f>
        <v>0</v>
      </c>
      <c r="C69" s="25">
        <f>SUM(C70)</f>
        <v>0</v>
      </c>
      <c r="D69" s="173" t="str">
        <f>IF(B69=0,"   ",C69/B69*100)</f>
        <v>   </v>
      </c>
      <c r="E69" s="174">
        <f>C69-B69</f>
        <v>0</v>
      </c>
    </row>
    <row r="70" spans="1:5" ht="18" customHeight="1">
      <c r="A70" s="87" t="s">
        <v>201</v>
      </c>
      <c r="B70" s="25">
        <v>0</v>
      </c>
      <c r="C70" s="171">
        <v>0</v>
      </c>
      <c r="D70" s="173" t="str">
        <f>IF(B70=0,"   ",C70/B70*100)</f>
        <v>   </v>
      </c>
      <c r="E70" s="174">
        <f>C70-B70</f>
        <v>0</v>
      </c>
    </row>
    <row r="71" spans="1:5" ht="18.75" customHeight="1">
      <c r="A71" s="183" t="s">
        <v>134</v>
      </c>
      <c r="B71" s="171">
        <f>B72+B76+B77+B78+B79+B73+B74+B82+B86+B75+B80+B81</f>
        <v>5015933</v>
      </c>
      <c r="C71" s="171">
        <f>C72+C76+C77+C78+C79+C73+C74+C82+C86+C75+C80+C81</f>
        <v>3827608.4</v>
      </c>
      <c r="D71" s="173">
        <f t="shared" si="0"/>
        <v>76.30900173507102</v>
      </c>
      <c r="E71" s="174">
        <f t="shared" si="1"/>
        <v>-1188324.6</v>
      </c>
    </row>
    <row r="72" spans="1:5" ht="18" customHeight="1">
      <c r="A72" s="184" t="s">
        <v>160</v>
      </c>
      <c r="B72" s="171">
        <v>0</v>
      </c>
      <c r="C72" s="171">
        <v>0</v>
      </c>
      <c r="D72" s="173" t="str">
        <f t="shared" si="0"/>
        <v>   </v>
      </c>
      <c r="E72" s="174">
        <f t="shared" si="1"/>
        <v>0</v>
      </c>
    </row>
    <row r="73" spans="1:5" ht="15" customHeight="1">
      <c r="A73" s="184" t="s">
        <v>156</v>
      </c>
      <c r="B73" s="171">
        <v>0</v>
      </c>
      <c r="C73" s="171">
        <v>0</v>
      </c>
      <c r="D73" s="173" t="str">
        <f t="shared" si="0"/>
        <v>   </v>
      </c>
      <c r="E73" s="174">
        <f t="shared" si="1"/>
        <v>0</v>
      </c>
    </row>
    <row r="74" spans="1:5" ht="14.25" customHeight="1">
      <c r="A74" s="184" t="s">
        <v>158</v>
      </c>
      <c r="B74" s="171">
        <v>440000</v>
      </c>
      <c r="C74" s="171">
        <v>99000</v>
      </c>
      <c r="D74" s="173">
        <f t="shared" si="0"/>
        <v>22.5</v>
      </c>
      <c r="E74" s="174">
        <f t="shared" si="1"/>
        <v>-341000</v>
      </c>
    </row>
    <row r="75" spans="1:5" ht="13.5" customHeight="1">
      <c r="A75" s="143" t="s">
        <v>237</v>
      </c>
      <c r="B75" s="171">
        <v>0</v>
      </c>
      <c r="C75" s="171">
        <v>0</v>
      </c>
      <c r="D75" s="173" t="str">
        <f t="shared" si="0"/>
        <v>   </v>
      </c>
      <c r="E75" s="174">
        <f t="shared" si="1"/>
        <v>0</v>
      </c>
    </row>
    <row r="76" spans="1:5" ht="25.5">
      <c r="A76" s="182" t="s">
        <v>135</v>
      </c>
      <c r="B76" s="171">
        <v>758000</v>
      </c>
      <c r="C76" s="171">
        <v>628847</v>
      </c>
      <c r="D76" s="173">
        <f t="shared" si="0"/>
        <v>82.96134564643799</v>
      </c>
      <c r="E76" s="174">
        <f t="shared" si="1"/>
        <v>-129153</v>
      </c>
    </row>
    <row r="77" spans="1:5" ht="22.5" customHeight="1">
      <c r="A77" s="182" t="s">
        <v>136</v>
      </c>
      <c r="B77" s="171">
        <v>1960000</v>
      </c>
      <c r="C77" s="171">
        <v>1311388</v>
      </c>
      <c r="D77" s="173">
        <f t="shared" si="0"/>
        <v>66.90755102040816</v>
      </c>
      <c r="E77" s="174">
        <f t="shared" si="1"/>
        <v>-648612</v>
      </c>
    </row>
    <row r="78" spans="1:5" ht="25.5" customHeight="1">
      <c r="A78" s="182" t="s">
        <v>149</v>
      </c>
      <c r="B78" s="171">
        <v>1615800</v>
      </c>
      <c r="C78" s="171">
        <v>1609536</v>
      </c>
      <c r="D78" s="173">
        <f t="shared" si="0"/>
        <v>99.61232825844782</v>
      </c>
      <c r="E78" s="174">
        <f t="shared" si="1"/>
        <v>-6264</v>
      </c>
    </row>
    <row r="79" spans="1:5" ht="17.25" customHeight="1">
      <c r="A79" s="182" t="s">
        <v>193</v>
      </c>
      <c r="B79" s="171">
        <v>179533</v>
      </c>
      <c r="C79" s="171">
        <v>178837.4</v>
      </c>
      <c r="D79" s="173">
        <f t="shared" si="0"/>
        <v>99.61255033893491</v>
      </c>
      <c r="E79" s="174">
        <f t="shared" si="1"/>
        <v>-695.6000000000058</v>
      </c>
    </row>
    <row r="80" spans="1:5" ht="15" customHeight="1">
      <c r="A80" s="120" t="s">
        <v>238</v>
      </c>
      <c r="B80" s="171">
        <v>0</v>
      </c>
      <c r="C80" s="171">
        <v>0</v>
      </c>
      <c r="D80" s="173" t="str">
        <f t="shared" si="0"/>
        <v>   </v>
      </c>
      <c r="E80" s="174">
        <f t="shared" si="1"/>
        <v>0</v>
      </c>
    </row>
    <row r="81" spans="1:5" ht="17.25" customHeight="1">
      <c r="A81" s="120" t="s">
        <v>236</v>
      </c>
      <c r="B81" s="171">
        <v>0</v>
      </c>
      <c r="C81" s="171">
        <v>0</v>
      </c>
      <c r="D81" s="173" t="str">
        <f t="shared" si="0"/>
        <v>   </v>
      </c>
      <c r="E81" s="174">
        <f t="shared" si="1"/>
        <v>0</v>
      </c>
    </row>
    <row r="82" spans="1:5" ht="18" customHeight="1">
      <c r="A82" s="182" t="s">
        <v>215</v>
      </c>
      <c r="B82" s="214">
        <f>B83+B85+B84</f>
        <v>0</v>
      </c>
      <c r="C82" s="214">
        <f>C83+C85+C84</f>
        <v>0</v>
      </c>
      <c r="D82" s="211" t="str">
        <f aca="true" t="shared" si="2" ref="D82:D89">IF(B82=0,"   ",C82/B82)</f>
        <v>   </v>
      </c>
      <c r="E82" s="212">
        <f t="shared" si="1"/>
        <v>0</v>
      </c>
    </row>
    <row r="83" spans="1:5" ht="15">
      <c r="A83" s="182" t="s">
        <v>212</v>
      </c>
      <c r="B83" s="214">
        <v>0</v>
      </c>
      <c r="C83" s="214">
        <v>0</v>
      </c>
      <c r="D83" s="211" t="str">
        <f t="shared" si="2"/>
        <v>   </v>
      </c>
      <c r="E83" s="212">
        <f t="shared" si="1"/>
        <v>0</v>
      </c>
    </row>
    <row r="84" spans="1:5" ht="15">
      <c r="A84" s="182" t="s">
        <v>213</v>
      </c>
      <c r="B84" s="214">
        <v>0</v>
      </c>
      <c r="C84" s="214">
        <v>0</v>
      </c>
      <c r="D84" s="211" t="str">
        <f t="shared" si="2"/>
        <v>   </v>
      </c>
      <c r="E84" s="212">
        <f t="shared" si="1"/>
        <v>0</v>
      </c>
    </row>
    <row r="85" spans="1:5" ht="15">
      <c r="A85" s="182" t="s">
        <v>214</v>
      </c>
      <c r="B85" s="214">
        <v>0</v>
      </c>
      <c r="C85" s="214">
        <v>0</v>
      </c>
      <c r="D85" s="211" t="str">
        <f t="shared" si="2"/>
        <v>   </v>
      </c>
      <c r="E85" s="212">
        <f t="shared" si="1"/>
        <v>0</v>
      </c>
    </row>
    <row r="86" spans="1:5" ht="15">
      <c r="A86" s="182" t="s">
        <v>219</v>
      </c>
      <c r="B86" s="214">
        <v>62600</v>
      </c>
      <c r="C86" s="214">
        <f>C87</f>
        <v>0</v>
      </c>
      <c r="D86" s="211">
        <f t="shared" si="2"/>
        <v>0</v>
      </c>
      <c r="E86" s="212">
        <f>C86-B86</f>
        <v>-62600</v>
      </c>
    </row>
    <row r="87" spans="1:5" ht="15">
      <c r="A87" s="182" t="s">
        <v>220</v>
      </c>
      <c r="B87" s="214">
        <v>62600</v>
      </c>
      <c r="C87" s="214">
        <v>0</v>
      </c>
      <c r="D87" s="211">
        <f t="shared" si="2"/>
        <v>0</v>
      </c>
      <c r="E87" s="212">
        <f>C87-B87</f>
        <v>-62600</v>
      </c>
    </row>
    <row r="88" spans="1:5" ht="15">
      <c r="A88" s="111" t="s">
        <v>209</v>
      </c>
      <c r="B88" s="214">
        <f>B89</f>
        <v>0</v>
      </c>
      <c r="C88" s="214">
        <f>C89</f>
        <v>0</v>
      </c>
      <c r="D88" s="211" t="str">
        <f t="shared" si="2"/>
        <v>   </v>
      </c>
      <c r="E88" s="212">
        <f>C88-B88</f>
        <v>0</v>
      </c>
    </row>
    <row r="89" spans="1:5" ht="26.25">
      <c r="A89" s="87" t="s">
        <v>210</v>
      </c>
      <c r="B89" s="214">
        <v>0</v>
      </c>
      <c r="C89" s="214">
        <v>0</v>
      </c>
      <c r="D89" s="211" t="str">
        <f t="shared" si="2"/>
        <v>   </v>
      </c>
      <c r="E89" s="212">
        <f>C89-B89</f>
        <v>0</v>
      </c>
    </row>
    <row r="90" spans="1:5" ht="18" customHeight="1">
      <c r="A90" s="175" t="s">
        <v>13</v>
      </c>
      <c r="B90" s="171">
        <f>SUM(B91,B94,B100)</f>
        <v>21725322.18</v>
      </c>
      <c r="C90" s="171">
        <f>SUM(C91,C94,C100)</f>
        <v>11171640.950000001</v>
      </c>
      <c r="D90" s="173">
        <f t="shared" si="0"/>
        <v>51.42221071540399</v>
      </c>
      <c r="E90" s="174">
        <f t="shared" si="1"/>
        <v>-10553681.229999999</v>
      </c>
    </row>
    <row r="91" spans="1:5" ht="18.75" customHeight="1">
      <c r="A91" s="98" t="s">
        <v>14</v>
      </c>
      <c r="B91" s="99">
        <f>SUM(B92:B93)</f>
        <v>1160000</v>
      </c>
      <c r="C91" s="99">
        <f>SUM(C92:C93)</f>
        <v>562817.87</v>
      </c>
      <c r="D91" s="173">
        <f t="shared" si="0"/>
        <v>48.51878189655172</v>
      </c>
      <c r="E91" s="174">
        <f t="shared" si="1"/>
        <v>-597182.13</v>
      </c>
    </row>
    <row r="92" spans="1:5" ht="12.75">
      <c r="A92" s="175" t="s">
        <v>102</v>
      </c>
      <c r="B92" s="171">
        <v>800000</v>
      </c>
      <c r="C92" s="172">
        <v>203417.87</v>
      </c>
      <c r="D92" s="173">
        <f t="shared" si="0"/>
        <v>25.42723375</v>
      </c>
      <c r="E92" s="174">
        <f t="shared" si="1"/>
        <v>-596582.13</v>
      </c>
    </row>
    <row r="93" spans="1:5" ht="12.75">
      <c r="A93" s="175" t="s">
        <v>216</v>
      </c>
      <c r="B93" s="171">
        <v>360000</v>
      </c>
      <c r="C93" s="172">
        <v>359400</v>
      </c>
      <c r="D93" s="173">
        <f t="shared" si="0"/>
        <v>99.83333333333333</v>
      </c>
      <c r="E93" s="174">
        <f t="shared" si="1"/>
        <v>-600</v>
      </c>
    </row>
    <row r="94" spans="1:5" ht="18" customHeight="1">
      <c r="A94" s="98" t="s">
        <v>64</v>
      </c>
      <c r="B94" s="99">
        <f>SUM(B95:B99)</f>
        <v>1436000</v>
      </c>
      <c r="C94" s="99">
        <f>SUM(C95:C99)</f>
        <v>559990.62</v>
      </c>
      <c r="D94" s="173">
        <f t="shared" si="0"/>
        <v>38.996561281337044</v>
      </c>
      <c r="E94" s="174">
        <f t="shared" si="1"/>
        <v>-876009.38</v>
      </c>
    </row>
    <row r="95" spans="1:5" ht="12.75">
      <c r="A95" s="175" t="s">
        <v>150</v>
      </c>
      <c r="B95" s="171">
        <v>286000</v>
      </c>
      <c r="C95" s="171">
        <v>109155.15</v>
      </c>
      <c r="D95" s="173">
        <f t="shared" si="0"/>
        <v>38.16613636363636</v>
      </c>
      <c r="E95" s="174">
        <f t="shared" si="1"/>
        <v>-176844.85</v>
      </c>
    </row>
    <row r="96" spans="1:5" ht="12.75">
      <c r="A96" s="175" t="s">
        <v>169</v>
      </c>
      <c r="B96" s="171">
        <v>250000</v>
      </c>
      <c r="C96" s="171">
        <v>200320.72</v>
      </c>
      <c r="D96" s="173">
        <f t="shared" si="0"/>
        <v>80.128288</v>
      </c>
      <c r="E96" s="174">
        <f t="shared" si="1"/>
        <v>-49679.28</v>
      </c>
    </row>
    <row r="97" spans="1:5" ht="25.5">
      <c r="A97" s="120" t="s">
        <v>225</v>
      </c>
      <c r="B97" s="171">
        <v>0</v>
      </c>
      <c r="C97" s="171"/>
      <c r="D97" s="173"/>
      <c r="E97" s="174"/>
    </row>
    <row r="98" spans="1:5" ht="25.5">
      <c r="A98" s="120" t="s">
        <v>258</v>
      </c>
      <c r="B98" s="171">
        <v>300000</v>
      </c>
      <c r="C98" s="171">
        <v>0</v>
      </c>
      <c r="D98" s="173">
        <f t="shared" si="0"/>
        <v>0</v>
      </c>
      <c r="E98" s="174">
        <f t="shared" si="1"/>
        <v>-300000</v>
      </c>
    </row>
    <row r="99" spans="1:5" ht="12.75">
      <c r="A99" s="175" t="s">
        <v>140</v>
      </c>
      <c r="B99" s="171">
        <v>600000</v>
      </c>
      <c r="C99" s="171">
        <v>250514.75</v>
      </c>
      <c r="D99" s="173">
        <f t="shared" si="0"/>
        <v>41.75245833333333</v>
      </c>
      <c r="E99" s="174">
        <f t="shared" si="1"/>
        <v>-349485.25</v>
      </c>
    </row>
    <row r="100" spans="1:5" ht="16.5" customHeight="1">
      <c r="A100" s="98" t="s">
        <v>63</v>
      </c>
      <c r="B100" s="99">
        <f>B101+B103+B104+B105+B106+B107+B111+B102</f>
        <v>19129322.18</v>
      </c>
      <c r="C100" s="99">
        <f>C101+C103+C104+C105+C106+C107+C111+C102</f>
        <v>10048832.46</v>
      </c>
      <c r="D100" s="173">
        <f t="shared" si="0"/>
        <v>52.53104300008188</v>
      </c>
      <c r="E100" s="174">
        <f t="shared" si="1"/>
        <v>-9080489.719999999</v>
      </c>
    </row>
    <row r="101" spans="1:5" ht="12.75">
      <c r="A101" s="175" t="s">
        <v>65</v>
      </c>
      <c r="B101" s="171">
        <v>4978300</v>
      </c>
      <c r="C101" s="172">
        <v>2378610.49</v>
      </c>
      <c r="D101" s="173">
        <f t="shared" si="0"/>
        <v>47.77957314745998</v>
      </c>
      <c r="E101" s="174">
        <f t="shared" si="1"/>
        <v>-2599689.51</v>
      </c>
    </row>
    <row r="102" spans="1:5" ht="25.5">
      <c r="A102" s="16" t="s">
        <v>305</v>
      </c>
      <c r="B102" s="171">
        <v>100000</v>
      </c>
      <c r="C102" s="172">
        <v>0</v>
      </c>
      <c r="D102" s="173">
        <f t="shared" si="0"/>
        <v>0</v>
      </c>
      <c r="E102" s="174">
        <f t="shared" si="1"/>
        <v>-100000</v>
      </c>
    </row>
    <row r="103" spans="1:5" ht="12.75">
      <c r="A103" s="175" t="s">
        <v>66</v>
      </c>
      <c r="B103" s="171">
        <v>250000</v>
      </c>
      <c r="C103" s="172">
        <v>180000</v>
      </c>
      <c r="D103" s="173">
        <f aca="true" t="shared" si="3" ref="D103:D124">IF(B103=0,"   ",C103/B103*100)</f>
        <v>72</v>
      </c>
      <c r="E103" s="174">
        <f t="shared" si="1"/>
        <v>-70000</v>
      </c>
    </row>
    <row r="104" spans="1:5" ht="12.75">
      <c r="A104" s="175" t="s">
        <v>67</v>
      </c>
      <c r="B104" s="171">
        <v>993900</v>
      </c>
      <c r="C104" s="172">
        <v>109800.49</v>
      </c>
      <c r="D104" s="173">
        <f t="shared" si="3"/>
        <v>11.0474383740819</v>
      </c>
      <c r="E104" s="174">
        <f t="shared" si="1"/>
        <v>-884099.51</v>
      </c>
    </row>
    <row r="105" spans="1:5" ht="12.75">
      <c r="A105" s="175" t="s">
        <v>68</v>
      </c>
      <c r="B105" s="171">
        <v>6057577</v>
      </c>
      <c r="C105" s="172">
        <v>3573842.28</v>
      </c>
      <c r="D105" s="173">
        <f t="shared" si="3"/>
        <v>58.99788446766752</v>
      </c>
      <c r="E105" s="174">
        <f t="shared" si="1"/>
        <v>-2483734.72</v>
      </c>
    </row>
    <row r="106" spans="1:5" ht="14.25" customHeight="1">
      <c r="A106" s="175" t="s">
        <v>95</v>
      </c>
      <c r="B106" s="171">
        <v>139600</v>
      </c>
      <c r="C106" s="172">
        <v>70411.38</v>
      </c>
      <c r="D106" s="173">
        <f t="shared" si="3"/>
        <v>50.437951289398285</v>
      </c>
      <c r="E106" s="174">
        <f t="shared" si="1"/>
        <v>-69188.62</v>
      </c>
    </row>
    <row r="107" spans="1:5" ht="18" customHeight="1">
      <c r="A107" s="182" t="s">
        <v>215</v>
      </c>
      <c r="B107" s="214">
        <f>B108+B110+B109</f>
        <v>6609945.18</v>
      </c>
      <c r="C107" s="214">
        <f>C108+C110+C109</f>
        <v>3736167.8200000003</v>
      </c>
      <c r="D107" s="211">
        <f>IF(B107=0,"   ",C107/B107)</f>
        <v>0.5652343125786711</v>
      </c>
      <c r="E107" s="212">
        <f>C107-B107</f>
        <v>-2873777.3599999994</v>
      </c>
    </row>
    <row r="108" spans="1:5" ht="15">
      <c r="A108" s="182" t="s">
        <v>212</v>
      </c>
      <c r="B108" s="214">
        <v>6209299.06</v>
      </c>
      <c r="C108" s="214">
        <v>3510707.89</v>
      </c>
      <c r="D108" s="211">
        <f>IF(B108=0,"   ",C108/B108)</f>
        <v>0.5653952009842477</v>
      </c>
      <c r="E108" s="212">
        <f>C108-B108</f>
        <v>-2698591.1699999995</v>
      </c>
    </row>
    <row r="109" spans="1:5" ht="15">
      <c r="A109" s="182" t="s">
        <v>213</v>
      </c>
      <c r="B109" s="214">
        <v>198169.12</v>
      </c>
      <c r="C109" s="214">
        <v>112043.87</v>
      </c>
      <c r="D109" s="211">
        <f>IF(B109=0,"   ",C109/B109)</f>
        <v>0.5653952038541625</v>
      </c>
      <c r="E109" s="212">
        <f>C109-B109</f>
        <v>-86125.25</v>
      </c>
    </row>
    <row r="110" spans="1:5" ht="15">
      <c r="A110" s="120" t="s">
        <v>239</v>
      </c>
      <c r="B110" s="214">
        <v>202477</v>
      </c>
      <c r="C110" s="214">
        <v>113416.06</v>
      </c>
      <c r="D110" s="211">
        <f>IF(B110=0,"   ",C110/B110)</f>
        <v>0.5601429298142505</v>
      </c>
      <c r="E110" s="212">
        <f>C110-B110</f>
        <v>-89060.94</v>
      </c>
    </row>
    <row r="111" spans="1:5" ht="15">
      <c r="A111" s="120" t="s">
        <v>240</v>
      </c>
      <c r="B111" s="214">
        <v>0</v>
      </c>
      <c r="C111" s="214">
        <v>0</v>
      </c>
      <c r="D111" s="211" t="str">
        <f>IF(B111=0,"   ",C111/B111)</f>
        <v>   </v>
      </c>
      <c r="E111" s="212">
        <f>C111-B111</f>
        <v>0</v>
      </c>
    </row>
    <row r="112" spans="1:5" ht="15" customHeight="1">
      <c r="A112" s="185" t="s">
        <v>17</v>
      </c>
      <c r="B112" s="186">
        <v>50000</v>
      </c>
      <c r="C112" s="186">
        <v>0</v>
      </c>
      <c r="D112" s="187">
        <f t="shared" si="3"/>
        <v>0</v>
      </c>
      <c r="E112" s="188">
        <f t="shared" si="1"/>
        <v>-50000</v>
      </c>
    </row>
    <row r="113" spans="1:5" ht="18.75" customHeight="1">
      <c r="A113" s="189" t="s">
        <v>41</v>
      </c>
      <c r="B113" s="190">
        <f>B114</f>
        <v>6366200</v>
      </c>
      <c r="C113" s="190">
        <f>C114</f>
        <v>4905749.28</v>
      </c>
      <c r="D113" s="187">
        <f t="shared" si="3"/>
        <v>77.05930193836198</v>
      </c>
      <c r="E113" s="188">
        <f t="shared" si="1"/>
        <v>-1460450.7199999997</v>
      </c>
    </row>
    <row r="114" spans="1:5" ht="15.75" customHeight="1">
      <c r="A114" s="189" t="s">
        <v>42</v>
      </c>
      <c r="B114" s="99">
        <f>B115+B116+B117+B119+B118</f>
        <v>6366200</v>
      </c>
      <c r="C114" s="99">
        <f>C115+C116+C117+C119+C118</f>
        <v>4905749.28</v>
      </c>
      <c r="D114" s="187">
        <f t="shared" si="3"/>
        <v>77.05930193836198</v>
      </c>
      <c r="E114" s="188">
        <f t="shared" si="1"/>
        <v>-1460450.7199999997</v>
      </c>
    </row>
    <row r="115" spans="1:5" ht="19.5" customHeight="1">
      <c r="A115" s="189" t="s">
        <v>151</v>
      </c>
      <c r="B115" s="186">
        <v>3916900</v>
      </c>
      <c r="C115" s="191">
        <v>3916900</v>
      </c>
      <c r="D115" s="187">
        <f t="shared" si="3"/>
        <v>100</v>
      </c>
      <c r="E115" s="188">
        <f t="shared" si="1"/>
        <v>0</v>
      </c>
    </row>
    <row r="116" spans="1:5" ht="16.5" customHeight="1">
      <c r="A116" s="16" t="s">
        <v>241</v>
      </c>
      <c r="B116" s="186">
        <v>1238800</v>
      </c>
      <c r="C116" s="191">
        <v>165300</v>
      </c>
      <c r="D116" s="187">
        <f t="shared" si="3"/>
        <v>13.34355828220859</v>
      </c>
      <c r="E116" s="188">
        <f t="shared" si="1"/>
        <v>-1073500</v>
      </c>
    </row>
    <row r="117" spans="1:5" ht="18" customHeight="1">
      <c r="A117" s="189" t="s">
        <v>152</v>
      </c>
      <c r="B117" s="186">
        <v>1157000</v>
      </c>
      <c r="C117" s="191">
        <v>770049.28</v>
      </c>
      <c r="D117" s="187">
        <f t="shared" si="3"/>
        <v>66.55568539325843</v>
      </c>
      <c r="E117" s="188">
        <f t="shared" si="1"/>
        <v>-386950.72</v>
      </c>
    </row>
    <row r="118" spans="1:5" ht="18" customHeight="1">
      <c r="A118" s="16" t="s">
        <v>242</v>
      </c>
      <c r="B118" s="186">
        <v>10700</v>
      </c>
      <c r="C118" s="191">
        <v>10700</v>
      </c>
      <c r="D118" s="187">
        <f t="shared" si="3"/>
        <v>100</v>
      </c>
      <c r="E118" s="188">
        <f t="shared" si="1"/>
        <v>0</v>
      </c>
    </row>
    <row r="119" spans="1:5" ht="18" customHeight="1">
      <c r="A119" s="189" t="s">
        <v>223</v>
      </c>
      <c r="B119" s="186">
        <v>42800</v>
      </c>
      <c r="C119" s="191">
        <v>42800</v>
      </c>
      <c r="D119" s="187">
        <f t="shared" si="3"/>
        <v>100</v>
      </c>
      <c r="E119" s="188">
        <f t="shared" si="1"/>
        <v>0</v>
      </c>
    </row>
    <row r="120" spans="1:5" ht="12.75">
      <c r="A120" s="189" t="s">
        <v>125</v>
      </c>
      <c r="B120" s="186">
        <f>SUM(B121,)</f>
        <v>50000</v>
      </c>
      <c r="C120" s="186">
        <f>SUM(C121,)</f>
        <v>27385</v>
      </c>
      <c r="D120" s="187">
        <f t="shared" si="3"/>
        <v>54.769999999999996</v>
      </c>
      <c r="E120" s="188">
        <f t="shared" si="1"/>
        <v>-22615</v>
      </c>
    </row>
    <row r="121" spans="1:5" ht="14.25" customHeight="1">
      <c r="A121" s="189" t="s">
        <v>43</v>
      </c>
      <c r="B121" s="186">
        <v>50000</v>
      </c>
      <c r="C121" s="192">
        <v>27385</v>
      </c>
      <c r="D121" s="187">
        <f t="shared" si="3"/>
        <v>54.769999999999996</v>
      </c>
      <c r="E121" s="188">
        <f t="shared" si="1"/>
        <v>-22615</v>
      </c>
    </row>
    <row r="122" spans="1:5" ht="19.5" customHeight="1">
      <c r="A122" s="189" t="s">
        <v>153</v>
      </c>
      <c r="B122" s="99">
        <f>SUM(B123:B123)</f>
        <v>50000</v>
      </c>
      <c r="C122" s="99">
        <f>SUM(C123:C123)</f>
        <v>0</v>
      </c>
      <c r="D122" s="173">
        <f t="shared" si="3"/>
        <v>0</v>
      </c>
      <c r="E122" s="174">
        <f t="shared" si="1"/>
        <v>-50000</v>
      </c>
    </row>
    <row r="123" spans="1:5" ht="19.5" customHeight="1">
      <c r="A123" s="175" t="s">
        <v>154</v>
      </c>
      <c r="B123" s="99">
        <v>50000</v>
      </c>
      <c r="C123" s="100">
        <v>0</v>
      </c>
      <c r="D123" s="173">
        <f t="shared" si="3"/>
        <v>0</v>
      </c>
      <c r="E123" s="174">
        <f t="shared" si="1"/>
        <v>-50000</v>
      </c>
    </row>
    <row r="124" spans="1:5" ht="20.25" customHeight="1">
      <c r="A124" s="176" t="s">
        <v>15</v>
      </c>
      <c r="B124" s="168">
        <f>B49+B58+B60+B65+B90+B112+B113+B120+B122</f>
        <v>37816230.18</v>
      </c>
      <c r="C124" s="168">
        <f>C49+C58+C60+C65+C90+C112+C113+C120+C122</f>
        <v>22586793.910000004</v>
      </c>
      <c r="D124" s="158">
        <f t="shared" si="3"/>
        <v>59.72777773588219</v>
      </c>
      <c r="E124" s="159">
        <f t="shared" si="1"/>
        <v>-15229436.269999996</v>
      </c>
    </row>
    <row r="125" spans="1:5" s="69" customFormat="1" ht="23.25" customHeight="1">
      <c r="A125" s="92" t="s">
        <v>311</v>
      </c>
      <c r="B125" s="92"/>
      <c r="C125" s="244"/>
      <c r="D125" s="244"/>
      <c r="E125" s="244"/>
    </row>
    <row r="126" spans="1:5" s="69" customFormat="1" ht="12" customHeight="1">
      <c r="A126" s="92" t="s">
        <v>165</v>
      </c>
      <c r="B126" s="92"/>
      <c r="C126" s="93" t="s">
        <v>312</v>
      </c>
      <c r="D126" s="94"/>
      <c r="E126" s="95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  <row r="130" spans="1:5" ht="12.75">
      <c r="A130" s="7"/>
      <c r="B130" s="7"/>
      <c r="C130" s="6"/>
      <c r="D130" s="7"/>
      <c r="E130" s="2"/>
    </row>
  </sheetData>
  <sheetProtection/>
  <mergeCells count="2">
    <mergeCell ref="A1:E1"/>
    <mergeCell ref="C125:E12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19">
      <selection activeCell="A84" sqref="A84:E85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46" t="s">
        <v>300</v>
      </c>
      <c r="B1" s="246"/>
      <c r="C1" s="246"/>
      <c r="D1" s="246"/>
      <c r="E1" s="246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245</v>
      </c>
      <c r="C4" s="32" t="s">
        <v>291</v>
      </c>
      <c r="D4" s="19" t="s">
        <v>248</v>
      </c>
      <c r="E4" s="36" t="s">
        <v>247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24">
        <f>SUM(B8)</f>
        <v>36600</v>
      </c>
      <c r="C7" s="24">
        <f>SUM(C8)</f>
        <v>17709.97</v>
      </c>
      <c r="D7" s="26">
        <f aca="true" t="shared" si="0" ref="D7:D82">IF(B7=0,"   ",C7/B7*100)</f>
        <v>48.38789617486339</v>
      </c>
      <c r="E7" s="45">
        <f aca="true" t="shared" si="1" ref="E7:E83">C7-B7</f>
        <v>-18890.03</v>
      </c>
    </row>
    <row r="8" spans="1:5" ht="12.75">
      <c r="A8" s="16" t="s">
        <v>44</v>
      </c>
      <c r="B8" s="25">
        <v>36600</v>
      </c>
      <c r="C8" s="27">
        <v>17709.97</v>
      </c>
      <c r="D8" s="26">
        <f t="shared" si="0"/>
        <v>48.38789617486339</v>
      </c>
      <c r="E8" s="45">
        <f t="shared" si="1"/>
        <v>-18890.03</v>
      </c>
    </row>
    <row r="9" spans="1:5" ht="15" customHeight="1">
      <c r="A9" s="74" t="s">
        <v>144</v>
      </c>
      <c r="B9" s="24">
        <f>SUM(B10)</f>
        <v>550800</v>
      </c>
      <c r="C9" s="24">
        <f>SUM(C10)</f>
        <v>372375.59</v>
      </c>
      <c r="D9" s="26">
        <f t="shared" si="0"/>
        <v>67.60631626724765</v>
      </c>
      <c r="E9" s="45">
        <f t="shared" si="1"/>
        <v>-178424.40999999997</v>
      </c>
    </row>
    <row r="10" spans="1:5" ht="12.75">
      <c r="A10" s="43" t="s">
        <v>145</v>
      </c>
      <c r="B10" s="25">
        <v>550800</v>
      </c>
      <c r="C10" s="27">
        <v>372375.59</v>
      </c>
      <c r="D10" s="26">
        <f t="shared" si="0"/>
        <v>67.60631626724765</v>
      </c>
      <c r="E10" s="45">
        <f t="shared" si="1"/>
        <v>-178424.40999999997</v>
      </c>
    </row>
    <row r="11" spans="1:5" ht="18.75" customHeight="1">
      <c r="A11" s="16" t="s">
        <v>7</v>
      </c>
      <c r="B11" s="25">
        <f>SUM(B12:B12)</f>
        <v>0</v>
      </c>
      <c r="C11" s="25">
        <f>SUM(C12:C12)</f>
        <v>0</v>
      </c>
      <c r="D11" s="26" t="str">
        <f t="shared" si="0"/>
        <v>   </v>
      </c>
      <c r="E11" s="45">
        <f t="shared" si="1"/>
        <v>0</v>
      </c>
    </row>
    <row r="12" spans="1:5" ht="12.75">
      <c r="A12" s="16" t="s">
        <v>26</v>
      </c>
      <c r="B12" s="25">
        <v>0</v>
      </c>
      <c r="C12" s="27">
        <v>0</v>
      </c>
      <c r="D12" s="26" t="str">
        <f t="shared" si="0"/>
        <v>   </v>
      </c>
      <c r="E12" s="45">
        <f t="shared" si="1"/>
        <v>0</v>
      </c>
    </row>
    <row r="13" spans="1:5" ht="15" customHeight="1">
      <c r="A13" s="16" t="s">
        <v>9</v>
      </c>
      <c r="B13" s="25">
        <f>SUM(B14:B15)</f>
        <v>294000</v>
      </c>
      <c r="C13" s="25">
        <f>SUM(C14:C15)</f>
        <v>91104.6</v>
      </c>
      <c r="D13" s="26">
        <f t="shared" si="0"/>
        <v>30.987959183673468</v>
      </c>
      <c r="E13" s="45">
        <f t="shared" si="1"/>
        <v>-202895.4</v>
      </c>
    </row>
    <row r="14" spans="1:5" ht="12.75">
      <c r="A14" s="16" t="s">
        <v>27</v>
      </c>
      <c r="B14" s="25">
        <v>57000</v>
      </c>
      <c r="C14" s="27">
        <v>15814.54</v>
      </c>
      <c r="D14" s="26">
        <f t="shared" si="0"/>
        <v>27.74480701754386</v>
      </c>
      <c r="E14" s="45">
        <f t="shared" si="1"/>
        <v>-41185.46</v>
      </c>
    </row>
    <row r="15" spans="1:5" ht="12.75">
      <c r="A15" s="43" t="s">
        <v>173</v>
      </c>
      <c r="B15" s="31">
        <f>SUM(B16:B17)</f>
        <v>237000</v>
      </c>
      <c r="C15" s="31">
        <f>SUM(C16:C17)</f>
        <v>75290.06</v>
      </c>
      <c r="D15" s="26">
        <f t="shared" si="0"/>
        <v>31.76795780590717</v>
      </c>
      <c r="E15" s="45">
        <f t="shared" si="1"/>
        <v>-161709.94</v>
      </c>
    </row>
    <row r="16" spans="1:5" ht="12.75">
      <c r="A16" s="43" t="s">
        <v>174</v>
      </c>
      <c r="B16" s="31">
        <v>11400</v>
      </c>
      <c r="C16" s="79">
        <v>6272.29</v>
      </c>
      <c r="D16" s="26">
        <f t="shared" si="0"/>
        <v>55.020087719298246</v>
      </c>
      <c r="E16" s="45">
        <f t="shared" si="1"/>
        <v>-5127.71</v>
      </c>
    </row>
    <row r="17" spans="1:5" ht="12.75">
      <c r="A17" s="43" t="s">
        <v>175</v>
      </c>
      <c r="B17" s="31">
        <v>225600</v>
      </c>
      <c r="C17" s="79">
        <v>69017.77</v>
      </c>
      <c r="D17" s="26">
        <f t="shared" si="0"/>
        <v>30.59298315602837</v>
      </c>
      <c r="E17" s="45">
        <f t="shared" si="1"/>
        <v>-156582.22999999998</v>
      </c>
    </row>
    <row r="18" spans="1:5" ht="12.75">
      <c r="A18" s="43" t="s">
        <v>254</v>
      </c>
      <c r="B18" s="31">
        <v>0</v>
      </c>
      <c r="C18" s="79">
        <v>1500</v>
      </c>
      <c r="D18" s="26" t="str">
        <f t="shared" si="0"/>
        <v>   </v>
      </c>
      <c r="E18" s="45">
        <f t="shared" si="1"/>
        <v>1500</v>
      </c>
    </row>
    <row r="19" spans="1:5" ht="13.5" customHeight="1">
      <c r="A19" s="16" t="s">
        <v>89</v>
      </c>
      <c r="B19" s="25">
        <v>0</v>
      </c>
      <c r="C19" s="27">
        <v>51314.33</v>
      </c>
      <c r="D19" s="26" t="str">
        <f t="shared" si="0"/>
        <v>   </v>
      </c>
      <c r="E19" s="45">
        <f t="shared" si="1"/>
        <v>51314.33</v>
      </c>
    </row>
    <row r="20" spans="1:5" ht="24" customHeight="1">
      <c r="A20" s="16" t="s">
        <v>28</v>
      </c>
      <c r="B20" s="25">
        <f>SUM(B21:B22)</f>
        <v>132000</v>
      </c>
      <c r="C20" s="24">
        <f>SUM(C21:C22)</f>
        <v>1</v>
      </c>
      <c r="D20" s="26">
        <f t="shared" si="0"/>
        <v>0.0007575757575757576</v>
      </c>
      <c r="E20" s="45">
        <f t="shared" si="1"/>
        <v>-131999</v>
      </c>
    </row>
    <row r="21" spans="1:5" ht="12.75">
      <c r="A21" s="43" t="s">
        <v>163</v>
      </c>
      <c r="B21" s="25">
        <v>110000</v>
      </c>
      <c r="C21" s="27">
        <v>1</v>
      </c>
      <c r="D21" s="26">
        <f t="shared" si="0"/>
        <v>0.0009090909090909091</v>
      </c>
      <c r="E21" s="45">
        <f t="shared" si="1"/>
        <v>-109999</v>
      </c>
    </row>
    <row r="22" spans="1:5" ht="15" customHeight="1">
      <c r="A22" s="16" t="s">
        <v>30</v>
      </c>
      <c r="B22" s="25">
        <v>22000</v>
      </c>
      <c r="C22" s="27">
        <v>0</v>
      </c>
      <c r="D22" s="26">
        <f t="shared" si="0"/>
        <v>0</v>
      </c>
      <c r="E22" s="45">
        <f t="shared" si="1"/>
        <v>-22000</v>
      </c>
    </row>
    <row r="23" spans="1:5" ht="20.25" customHeight="1">
      <c r="A23" s="16" t="s">
        <v>83</v>
      </c>
      <c r="B23" s="25">
        <v>0</v>
      </c>
      <c r="C23" s="27">
        <v>0</v>
      </c>
      <c r="D23" s="26" t="str">
        <f t="shared" si="0"/>
        <v>   </v>
      </c>
      <c r="E23" s="45">
        <f t="shared" si="1"/>
        <v>0</v>
      </c>
    </row>
    <row r="24" spans="1:5" ht="17.25" customHeight="1">
      <c r="A24" s="16" t="s">
        <v>76</v>
      </c>
      <c r="B24" s="24">
        <f>B25</f>
        <v>0</v>
      </c>
      <c r="C24" s="24">
        <f>C25</f>
        <v>0</v>
      </c>
      <c r="D24" s="26" t="str">
        <f t="shared" si="0"/>
        <v>   </v>
      </c>
      <c r="E24" s="45">
        <f t="shared" si="1"/>
        <v>0</v>
      </c>
    </row>
    <row r="25" spans="1:5" ht="27.75" customHeight="1">
      <c r="A25" s="16" t="s">
        <v>77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32</v>
      </c>
      <c r="B26" s="25">
        <f>B27+B28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2.75">
      <c r="A27" s="16" t="s">
        <v>46</v>
      </c>
      <c r="B27" s="25">
        <v>0</v>
      </c>
      <c r="C27" s="25">
        <v>0</v>
      </c>
      <c r="D27" s="26" t="str">
        <f t="shared" si="0"/>
        <v>   </v>
      </c>
      <c r="E27" s="45"/>
    </row>
    <row r="28" spans="1:5" ht="12.75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16.5" customHeight="1">
      <c r="A30" s="193" t="s">
        <v>10</v>
      </c>
      <c r="B30" s="46">
        <f>SUM(B7,B9,B11,B13,B20,B23,B24,B26,B29,B19,B18)</f>
        <v>1013400</v>
      </c>
      <c r="C30" s="46">
        <f>SUM(C7,C9,C11,C13,C20,C23,C24,C26,C29,C19,C18)</f>
        <v>534005.49</v>
      </c>
      <c r="D30" s="26">
        <f t="shared" si="0"/>
        <v>52.69444345766726</v>
      </c>
      <c r="E30" s="45">
        <f t="shared" si="1"/>
        <v>-479394.51</v>
      </c>
    </row>
    <row r="31" spans="1:5" ht="13.5" customHeight="1">
      <c r="A31" s="201" t="s">
        <v>147</v>
      </c>
      <c r="B31" s="215">
        <f>SUM(B32:B34,B37:B39,B42)</f>
        <v>2980300</v>
      </c>
      <c r="C31" s="215">
        <f>SUM(C32:C34,C37:C39,C42)</f>
        <v>2207208</v>
      </c>
      <c r="D31" s="158">
        <f t="shared" si="0"/>
        <v>74.05992685300137</v>
      </c>
      <c r="E31" s="159">
        <f t="shared" si="1"/>
        <v>-773092</v>
      </c>
    </row>
    <row r="32" spans="1:5" ht="19.5" customHeight="1">
      <c r="A32" s="17" t="s">
        <v>34</v>
      </c>
      <c r="B32" s="24">
        <v>1287200</v>
      </c>
      <c r="C32" s="24">
        <v>857300</v>
      </c>
      <c r="D32" s="26">
        <f t="shared" si="0"/>
        <v>66.6019266625233</v>
      </c>
      <c r="E32" s="45">
        <f t="shared" si="1"/>
        <v>-429900</v>
      </c>
    </row>
    <row r="33" spans="1:5" ht="30.75" customHeight="1">
      <c r="A33" s="150" t="s">
        <v>51</v>
      </c>
      <c r="B33" s="151">
        <v>71300</v>
      </c>
      <c r="C33" s="154">
        <v>57400</v>
      </c>
      <c r="D33" s="152">
        <f t="shared" si="0"/>
        <v>80.50490883590463</v>
      </c>
      <c r="E33" s="153">
        <f t="shared" si="1"/>
        <v>-13900</v>
      </c>
    </row>
    <row r="34" spans="1:5" ht="24.75" customHeight="1">
      <c r="A34" s="124" t="s">
        <v>157</v>
      </c>
      <c r="B34" s="151">
        <f>SUM(B35:B36)</f>
        <v>8100</v>
      </c>
      <c r="C34" s="151">
        <f>SUM(C35:C36)</f>
        <v>100</v>
      </c>
      <c r="D34" s="152">
        <f t="shared" si="0"/>
        <v>1.2345679012345678</v>
      </c>
      <c r="E34" s="153">
        <f t="shared" si="1"/>
        <v>-8000</v>
      </c>
    </row>
    <row r="35" spans="1:5" ht="16.5" customHeight="1">
      <c r="A35" s="124" t="s">
        <v>176</v>
      </c>
      <c r="B35" s="151">
        <v>100</v>
      </c>
      <c r="C35" s="154">
        <v>100</v>
      </c>
      <c r="D35" s="152">
        <f t="shared" si="0"/>
        <v>100</v>
      </c>
      <c r="E35" s="153">
        <f t="shared" si="1"/>
        <v>0</v>
      </c>
    </row>
    <row r="36" spans="1:5" ht="25.5" customHeight="1">
      <c r="A36" s="124" t="s">
        <v>177</v>
      </c>
      <c r="B36" s="151">
        <v>8000</v>
      </c>
      <c r="C36" s="154">
        <v>0</v>
      </c>
      <c r="D36" s="152">
        <f t="shared" si="0"/>
        <v>0</v>
      </c>
      <c r="E36" s="153">
        <f t="shared" si="1"/>
        <v>-8000</v>
      </c>
    </row>
    <row r="37" spans="1:5" ht="40.5" customHeight="1">
      <c r="A37" s="160" t="s">
        <v>137</v>
      </c>
      <c r="B37" s="151">
        <v>816000</v>
      </c>
      <c r="C37" s="151">
        <v>816000</v>
      </c>
      <c r="D37" s="152">
        <f t="shared" si="0"/>
        <v>100</v>
      </c>
      <c r="E37" s="153">
        <f t="shared" si="1"/>
        <v>0</v>
      </c>
    </row>
    <row r="38" spans="1:5" ht="14.25" customHeight="1">
      <c r="A38" s="160" t="s">
        <v>186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5.75" customHeight="1">
      <c r="A39" s="16" t="s">
        <v>55</v>
      </c>
      <c r="B39" s="25">
        <f>B41+B40</f>
        <v>675800</v>
      </c>
      <c r="C39" s="25">
        <f>C41+C40</f>
        <v>406408</v>
      </c>
      <c r="D39" s="26">
        <f t="shared" si="0"/>
        <v>60.13731873335306</v>
      </c>
      <c r="E39" s="45">
        <f t="shared" si="1"/>
        <v>-269392</v>
      </c>
    </row>
    <row r="40" spans="1:5" ht="15" customHeight="1">
      <c r="A40" s="56" t="s">
        <v>226</v>
      </c>
      <c r="B40" s="25">
        <v>264900</v>
      </c>
      <c r="C40" s="25">
        <v>264846</v>
      </c>
      <c r="D40" s="26">
        <f>IF(B40=0,"   ",C40/B40*100)</f>
        <v>99.97961494903737</v>
      </c>
      <c r="E40" s="45">
        <f>C40-B40</f>
        <v>-54</v>
      </c>
    </row>
    <row r="41" spans="1:5" s="7" customFormat="1" ht="16.5" customHeight="1">
      <c r="A41" s="16" t="s">
        <v>110</v>
      </c>
      <c r="B41" s="57">
        <v>410900</v>
      </c>
      <c r="C41" s="25">
        <v>141562</v>
      </c>
      <c r="D41" s="57">
        <f t="shared" si="0"/>
        <v>34.45169140910197</v>
      </c>
      <c r="E41" s="42">
        <f t="shared" si="1"/>
        <v>-269338</v>
      </c>
    </row>
    <row r="42" spans="1:5" s="7" customFormat="1" ht="16.5" customHeight="1">
      <c r="A42" s="16" t="s">
        <v>257</v>
      </c>
      <c r="B42" s="57">
        <v>121900</v>
      </c>
      <c r="C42" s="25">
        <v>70000</v>
      </c>
      <c r="D42" s="57">
        <f>IF(B42=0,"   ",C42/B42*100)</f>
        <v>57.42411812961444</v>
      </c>
      <c r="E42" s="42">
        <f>C42-B42</f>
        <v>-51900</v>
      </c>
    </row>
    <row r="43" spans="1:5" ht="20.25" customHeight="1">
      <c r="A43" s="193" t="s">
        <v>11</v>
      </c>
      <c r="B43" s="168">
        <f>SUM(B30,B31,)</f>
        <v>3993700</v>
      </c>
      <c r="C43" s="168">
        <f>SUM(C30,C31,)</f>
        <v>2741213.49</v>
      </c>
      <c r="D43" s="26">
        <f t="shared" si="0"/>
        <v>68.63844279740592</v>
      </c>
      <c r="E43" s="45">
        <f t="shared" si="1"/>
        <v>-1252486.5099999998</v>
      </c>
    </row>
    <row r="44" spans="1:5" ht="22.5" customHeight="1">
      <c r="A44" s="22" t="s">
        <v>12</v>
      </c>
      <c r="B44" s="47"/>
      <c r="C44" s="48"/>
      <c r="D44" s="26" t="str">
        <f t="shared" si="0"/>
        <v>   </v>
      </c>
      <c r="E44" s="45">
        <f t="shared" si="1"/>
        <v>0</v>
      </c>
    </row>
    <row r="45" spans="1:5" ht="21" customHeight="1">
      <c r="A45" s="16" t="s">
        <v>35</v>
      </c>
      <c r="B45" s="25">
        <f>SUM(B46,B48,B49)</f>
        <v>1033200</v>
      </c>
      <c r="C45" s="25">
        <f>SUM(C46,C48,C49)</f>
        <v>644514.8</v>
      </c>
      <c r="D45" s="26">
        <f t="shared" si="0"/>
        <v>62.38044909020519</v>
      </c>
      <c r="E45" s="45">
        <f t="shared" si="1"/>
        <v>-388685.19999999995</v>
      </c>
    </row>
    <row r="46" spans="1:5" ht="14.25" customHeight="1">
      <c r="A46" s="16" t="s">
        <v>36</v>
      </c>
      <c r="B46" s="25">
        <v>1032700</v>
      </c>
      <c r="C46" s="25">
        <v>644514.8</v>
      </c>
      <c r="D46" s="26">
        <f t="shared" si="0"/>
        <v>62.410651689745336</v>
      </c>
      <c r="E46" s="45">
        <f t="shared" si="1"/>
        <v>-388185.19999999995</v>
      </c>
    </row>
    <row r="47" spans="1:5" ht="12.75">
      <c r="A47" s="97" t="s">
        <v>122</v>
      </c>
      <c r="B47" s="25">
        <v>724500</v>
      </c>
      <c r="C47" s="28">
        <v>475098.75</v>
      </c>
      <c r="D47" s="26">
        <f t="shared" si="0"/>
        <v>65.57608695652173</v>
      </c>
      <c r="E47" s="45">
        <f t="shared" si="1"/>
        <v>-249401.25</v>
      </c>
    </row>
    <row r="48" spans="1:5" ht="12.75">
      <c r="A48" s="16" t="s">
        <v>96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5">
        <f>B50</f>
        <v>0</v>
      </c>
      <c r="C49" s="25">
        <f>C50</f>
        <v>0</v>
      </c>
      <c r="D49" s="26" t="str">
        <f t="shared" si="0"/>
        <v>   </v>
      </c>
      <c r="E49" s="45">
        <f t="shared" si="1"/>
        <v>0</v>
      </c>
    </row>
    <row r="50" spans="1:5" ht="25.5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19.5" customHeight="1">
      <c r="A51" s="16" t="s">
        <v>49</v>
      </c>
      <c r="B51" s="27">
        <f>SUM(B52)</f>
        <v>71300</v>
      </c>
      <c r="C51" s="27">
        <f>SUM(C52)</f>
        <v>43646.95</v>
      </c>
      <c r="D51" s="26">
        <f t="shared" si="0"/>
        <v>61.21591865357643</v>
      </c>
      <c r="E51" s="45">
        <f t="shared" si="1"/>
        <v>-27653.050000000003</v>
      </c>
    </row>
    <row r="52" spans="1:5" ht="15.75" customHeight="1">
      <c r="A52" s="16" t="s">
        <v>108</v>
      </c>
      <c r="B52" s="25">
        <v>71300</v>
      </c>
      <c r="C52" s="27">
        <v>43646.95</v>
      </c>
      <c r="D52" s="26">
        <f t="shared" si="0"/>
        <v>61.21591865357643</v>
      </c>
      <c r="E52" s="45">
        <f t="shared" si="1"/>
        <v>-27653.050000000003</v>
      </c>
    </row>
    <row r="53" spans="1:5" ht="21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9.5" customHeight="1">
      <c r="A55" s="16" t="s">
        <v>38</v>
      </c>
      <c r="B55" s="25">
        <f>SUM(B59+B56)</f>
        <v>1378800</v>
      </c>
      <c r="C55" s="25">
        <f>SUM(C59)</f>
        <v>1005968.71</v>
      </c>
      <c r="D55" s="26">
        <f t="shared" si="0"/>
        <v>72.95972657383231</v>
      </c>
      <c r="E55" s="45">
        <f t="shared" si="1"/>
        <v>-372831.29000000004</v>
      </c>
    </row>
    <row r="56" spans="1:5" ht="15" customHeight="1">
      <c r="A56" s="87" t="s">
        <v>178</v>
      </c>
      <c r="B56" s="25">
        <f>SUM(B57+B58)</f>
        <v>8000</v>
      </c>
      <c r="C56" s="25">
        <f>SUM(C57+C58)</f>
        <v>0</v>
      </c>
      <c r="D56" s="26">
        <f>IF(B56=0,"   ",C56/B56*100)</f>
        <v>0</v>
      </c>
      <c r="E56" s="45">
        <f>C56-B56</f>
        <v>-8000</v>
      </c>
    </row>
    <row r="57" spans="1:5" ht="15.75" customHeight="1">
      <c r="A57" s="87" t="s">
        <v>179</v>
      </c>
      <c r="B57" s="25">
        <v>8000</v>
      </c>
      <c r="C57" s="25">
        <v>0</v>
      </c>
      <c r="D57" s="26">
        <f>IF(B57=0,"   ",C57/B57*100)</f>
        <v>0</v>
      </c>
      <c r="E57" s="45">
        <f>C57-B57</f>
        <v>-8000</v>
      </c>
    </row>
    <row r="58" spans="1:5" ht="19.5" customHeight="1">
      <c r="A58" s="87" t="s">
        <v>185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2.75" customHeight="1">
      <c r="A59" s="111" t="s">
        <v>134</v>
      </c>
      <c r="B59" s="25">
        <f>B60+B62+B63+B61</f>
        <v>1370800</v>
      </c>
      <c r="C59" s="25">
        <f>C60+C62+C63+C61</f>
        <v>1005968.71</v>
      </c>
      <c r="D59" s="26">
        <f t="shared" si="0"/>
        <v>73.38552013422819</v>
      </c>
      <c r="E59" s="45">
        <f t="shared" si="1"/>
        <v>-364831.29000000004</v>
      </c>
    </row>
    <row r="60" spans="1:5" ht="12" customHeight="1">
      <c r="A60" s="87" t="s">
        <v>148</v>
      </c>
      <c r="B60" s="25">
        <v>0</v>
      </c>
      <c r="C60" s="25">
        <v>0</v>
      </c>
      <c r="D60" s="26" t="str">
        <f t="shared" si="0"/>
        <v>   </v>
      </c>
      <c r="E60" s="153">
        <f t="shared" si="1"/>
        <v>0</v>
      </c>
    </row>
    <row r="61" spans="1:5" ht="15" customHeight="1">
      <c r="A61" s="87" t="s">
        <v>259</v>
      </c>
      <c r="B61" s="25">
        <v>816000</v>
      </c>
      <c r="C61" s="25">
        <v>813703.71</v>
      </c>
      <c r="D61" s="26">
        <f t="shared" si="0"/>
        <v>99.7185919117647</v>
      </c>
      <c r="E61" s="153">
        <f t="shared" si="1"/>
        <v>-2296.2900000000373</v>
      </c>
    </row>
    <row r="62" spans="1:5" ht="26.25" customHeight="1">
      <c r="A62" s="82" t="s">
        <v>135</v>
      </c>
      <c r="B62" s="25">
        <v>410900</v>
      </c>
      <c r="C62" s="25">
        <v>141562</v>
      </c>
      <c r="D62" s="26">
        <f t="shared" si="0"/>
        <v>34.45169140910197</v>
      </c>
      <c r="E62" s="45">
        <f t="shared" si="1"/>
        <v>-269338</v>
      </c>
    </row>
    <row r="63" spans="1:5" ht="23.25" customHeight="1">
      <c r="A63" s="82" t="s">
        <v>136</v>
      </c>
      <c r="B63" s="25">
        <v>143900</v>
      </c>
      <c r="C63" s="25">
        <v>50703</v>
      </c>
      <c r="D63" s="26">
        <f t="shared" si="0"/>
        <v>35.234885337039614</v>
      </c>
      <c r="E63" s="45">
        <f t="shared" si="1"/>
        <v>-93197</v>
      </c>
    </row>
    <row r="64" spans="1:5" ht="18.75" customHeight="1">
      <c r="A64" s="16" t="s">
        <v>13</v>
      </c>
      <c r="B64" s="25">
        <f>SUM(B69+B65+B67)</f>
        <v>705200</v>
      </c>
      <c r="C64" s="25">
        <f>SUM(C69+C65+C67)</f>
        <v>369043.89</v>
      </c>
      <c r="D64" s="26">
        <f t="shared" si="0"/>
        <v>52.33180516165628</v>
      </c>
      <c r="E64" s="45">
        <f t="shared" si="1"/>
        <v>-336156.11</v>
      </c>
    </row>
    <row r="65" spans="1:5" ht="12.75" customHeight="1">
      <c r="A65" s="98" t="s">
        <v>14</v>
      </c>
      <c r="B65" s="25">
        <f>B66</f>
        <v>0</v>
      </c>
      <c r="C65" s="25">
        <f>C66</f>
        <v>0</v>
      </c>
      <c r="D65" s="26" t="str">
        <f>IF(B65=0,"   ",C65/B65*100)</f>
        <v>   </v>
      </c>
      <c r="E65" s="45">
        <f>C65-B65</f>
        <v>0</v>
      </c>
    </row>
    <row r="66" spans="1:5" ht="12.75" customHeight="1">
      <c r="A66" s="175" t="s">
        <v>188</v>
      </c>
      <c r="B66" s="25">
        <v>0</v>
      </c>
      <c r="C66" s="25">
        <v>0</v>
      </c>
      <c r="D66" s="26" t="str">
        <f>IF(B66=0,"   ",C66/B66*100)</f>
        <v>   </v>
      </c>
      <c r="E66" s="45">
        <f>C66-B66</f>
        <v>0</v>
      </c>
    </row>
    <row r="67" spans="1:5" ht="13.5" customHeight="1">
      <c r="A67" s="98" t="s">
        <v>64</v>
      </c>
      <c r="B67" s="25">
        <f>B68</f>
        <v>0</v>
      </c>
      <c r="C67" s="25">
        <f>C68</f>
        <v>0</v>
      </c>
      <c r="D67" s="26" t="str">
        <f>IF(B67=0,"   ",C67/B67*100)</f>
        <v>   </v>
      </c>
      <c r="E67" s="45">
        <f>C67-B67</f>
        <v>0</v>
      </c>
    </row>
    <row r="68" spans="1:5" ht="14.25" customHeight="1">
      <c r="A68" s="175" t="s">
        <v>189</v>
      </c>
      <c r="B68" s="25">
        <v>0</v>
      </c>
      <c r="C68" s="25">
        <v>0</v>
      </c>
      <c r="D68" s="26" t="str">
        <f>IF(B68=0,"   ",C68/B68*100)</f>
        <v>   </v>
      </c>
      <c r="E68" s="45">
        <f>C68-B68</f>
        <v>0</v>
      </c>
    </row>
    <row r="69" spans="1:5" ht="12.75">
      <c r="A69" s="16" t="s">
        <v>58</v>
      </c>
      <c r="B69" s="25">
        <f>B70+B72+B71+B77+B73</f>
        <v>705200</v>
      </c>
      <c r="C69" s="25">
        <f>C70+C72+C71+C77+C73</f>
        <v>369043.89</v>
      </c>
      <c r="D69" s="26">
        <f t="shared" si="0"/>
        <v>52.33180516165628</v>
      </c>
      <c r="E69" s="45">
        <f t="shared" si="1"/>
        <v>-336156.11</v>
      </c>
    </row>
    <row r="70" spans="1:5" ht="12.75">
      <c r="A70" s="16" t="s">
        <v>56</v>
      </c>
      <c r="B70" s="25">
        <v>166400</v>
      </c>
      <c r="C70" s="27">
        <v>19197.89</v>
      </c>
      <c r="D70" s="26">
        <f t="shared" si="0"/>
        <v>11.537193509615385</v>
      </c>
      <c r="E70" s="45">
        <f t="shared" si="1"/>
        <v>-147202.11</v>
      </c>
    </row>
    <row r="71" spans="1:5" ht="25.5">
      <c r="A71" s="120" t="s">
        <v>180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2.75">
      <c r="A72" s="16" t="s">
        <v>59</v>
      </c>
      <c r="B72" s="25">
        <v>82000</v>
      </c>
      <c r="C72" s="27">
        <v>15000</v>
      </c>
      <c r="D72" s="26">
        <f t="shared" si="0"/>
        <v>18.29268292682927</v>
      </c>
      <c r="E72" s="45">
        <f t="shared" si="1"/>
        <v>-67000</v>
      </c>
    </row>
    <row r="73" spans="1:5" ht="13.5" customHeight="1">
      <c r="A73" s="120" t="s">
        <v>267</v>
      </c>
      <c r="B73" s="25">
        <f>SUM(B74:B76)</f>
        <v>456800</v>
      </c>
      <c r="C73" s="25">
        <f>SUM(C74:C76)</f>
        <v>334846</v>
      </c>
      <c r="D73" s="26">
        <f>IF(B73=0,"   ",C73/B73*100)</f>
        <v>73.30253940455341</v>
      </c>
      <c r="E73" s="45">
        <f>C73-B73</f>
        <v>-121954</v>
      </c>
    </row>
    <row r="74" spans="1:5" ht="25.5">
      <c r="A74" s="120" t="s">
        <v>274</v>
      </c>
      <c r="B74" s="25">
        <v>264900</v>
      </c>
      <c r="C74" s="27">
        <v>264846</v>
      </c>
      <c r="D74" s="26">
        <f t="shared" si="0"/>
        <v>99.97961494903737</v>
      </c>
      <c r="E74" s="45">
        <f t="shared" si="1"/>
        <v>-54</v>
      </c>
    </row>
    <row r="75" spans="1:5" ht="25.5">
      <c r="A75" s="120" t="s">
        <v>275</v>
      </c>
      <c r="B75" s="25">
        <v>121900</v>
      </c>
      <c r="C75" s="27">
        <v>0</v>
      </c>
      <c r="D75" s="26">
        <f t="shared" si="0"/>
        <v>0</v>
      </c>
      <c r="E75" s="45">
        <f t="shared" si="1"/>
        <v>-121900</v>
      </c>
    </row>
    <row r="76" spans="1:5" ht="25.5">
      <c r="A76" s="120" t="s">
        <v>276</v>
      </c>
      <c r="B76" s="25">
        <v>70000</v>
      </c>
      <c r="C76" s="27">
        <v>70000</v>
      </c>
      <c r="D76" s="26">
        <f t="shared" si="0"/>
        <v>100</v>
      </c>
      <c r="E76" s="45">
        <f t="shared" si="1"/>
        <v>0</v>
      </c>
    </row>
    <row r="77" spans="1:5" ht="12.75">
      <c r="A77" s="175" t="s">
        <v>95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4.25" customHeight="1">
      <c r="A78" s="18" t="s">
        <v>17</v>
      </c>
      <c r="B78" s="31">
        <v>8000</v>
      </c>
      <c r="C78" s="31">
        <v>0</v>
      </c>
      <c r="D78" s="26">
        <f t="shared" si="0"/>
        <v>0</v>
      </c>
      <c r="E78" s="45">
        <f t="shared" si="1"/>
        <v>-8000</v>
      </c>
    </row>
    <row r="79" spans="1:5" ht="13.5" customHeight="1">
      <c r="A79" s="16" t="s">
        <v>41</v>
      </c>
      <c r="B79" s="24">
        <f>B80</f>
        <v>848400</v>
      </c>
      <c r="C79" s="24">
        <f>C80</f>
        <v>641300</v>
      </c>
      <c r="D79" s="26">
        <f t="shared" si="0"/>
        <v>75.58934464875058</v>
      </c>
      <c r="E79" s="45">
        <f t="shared" si="1"/>
        <v>-207100</v>
      </c>
    </row>
    <row r="80" spans="1:5" ht="12.75">
      <c r="A80" s="16" t="s">
        <v>42</v>
      </c>
      <c r="B80" s="25">
        <v>848400</v>
      </c>
      <c r="C80" s="27">
        <v>641300</v>
      </c>
      <c r="D80" s="26">
        <f t="shared" si="0"/>
        <v>75.58934464875058</v>
      </c>
      <c r="E80" s="45">
        <f t="shared" si="1"/>
        <v>-207100</v>
      </c>
    </row>
    <row r="81" spans="1:5" ht="18.75" customHeight="1">
      <c r="A81" s="16" t="s">
        <v>125</v>
      </c>
      <c r="B81" s="25">
        <f>SUM(B82,)</f>
        <v>18400</v>
      </c>
      <c r="C81" s="25">
        <f>SUM(C82,)</f>
        <v>0</v>
      </c>
      <c r="D81" s="26">
        <f t="shared" si="0"/>
        <v>0</v>
      </c>
      <c r="E81" s="45">
        <f t="shared" si="1"/>
        <v>-18400</v>
      </c>
    </row>
    <row r="82" spans="1:5" ht="12.75">
      <c r="A82" s="16" t="s">
        <v>43</v>
      </c>
      <c r="B82" s="25">
        <v>18400</v>
      </c>
      <c r="C82" s="28">
        <v>0</v>
      </c>
      <c r="D82" s="26">
        <f t="shared" si="0"/>
        <v>0</v>
      </c>
      <c r="E82" s="45">
        <f t="shared" si="1"/>
        <v>-18400</v>
      </c>
    </row>
    <row r="83" spans="1:5" ht="22.5" customHeight="1">
      <c r="A83" s="193" t="s">
        <v>15</v>
      </c>
      <c r="B83" s="24">
        <f>B45+B51+B53+B55+B64+B78+B79+B81</f>
        <v>4063700</v>
      </c>
      <c r="C83" s="24">
        <f>C45+C51+C53+C55+C64+C78+C79+C81</f>
        <v>2704474.35</v>
      </c>
      <c r="D83" s="26">
        <f>IF(B83=0,"   ",C83/B83*100)</f>
        <v>66.55201786549205</v>
      </c>
      <c r="E83" s="45">
        <f t="shared" si="1"/>
        <v>-1359225.65</v>
      </c>
    </row>
    <row r="84" spans="1:5" s="69" customFormat="1" ht="23.25" customHeight="1">
      <c r="A84" s="92" t="s">
        <v>311</v>
      </c>
      <c r="B84" s="92"/>
      <c r="C84" s="244"/>
      <c r="D84" s="244"/>
      <c r="E84" s="244"/>
    </row>
    <row r="85" spans="1:5" s="69" customFormat="1" ht="12" customHeight="1">
      <c r="A85" s="92" t="s">
        <v>165</v>
      </c>
      <c r="B85" s="92"/>
      <c r="C85" s="93" t="s">
        <v>312</v>
      </c>
      <c r="D85" s="94"/>
      <c r="E85" s="95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sheetProtection/>
  <mergeCells count="2">
    <mergeCell ref="A1:E1"/>
    <mergeCell ref="C84:E84"/>
  </mergeCells>
  <printOptions/>
  <pageMargins left="0.984251968503937" right="0.7874015748031497" top="0.5118110236220472" bottom="0.472440944881889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A86" sqref="A86:E87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46" t="s">
        <v>301</v>
      </c>
      <c r="B1" s="246"/>
      <c r="C1" s="246"/>
      <c r="D1" s="246"/>
      <c r="E1" s="246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245</v>
      </c>
      <c r="C4" s="32" t="s">
        <v>291</v>
      </c>
      <c r="D4" s="19" t="s">
        <v>250</v>
      </c>
      <c r="E4" s="36" t="s">
        <v>247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24">
        <f>SUM(B8)</f>
        <v>346900</v>
      </c>
      <c r="C7" s="24">
        <f>SUM(C8)</f>
        <v>220004.67</v>
      </c>
      <c r="D7" s="26">
        <f aca="true" t="shared" si="0" ref="D7:D84">IF(B7=0,"   ",C7/B7*100)</f>
        <v>63.42019890458346</v>
      </c>
      <c r="E7" s="45">
        <f aca="true" t="shared" si="1" ref="E7:E85">C7-B7</f>
        <v>-126895.32999999999</v>
      </c>
    </row>
    <row r="8" spans="1:5" ht="12.75">
      <c r="A8" s="16" t="s">
        <v>44</v>
      </c>
      <c r="B8" s="25">
        <v>346900</v>
      </c>
      <c r="C8" s="27">
        <v>220004.67</v>
      </c>
      <c r="D8" s="26">
        <f t="shared" si="0"/>
        <v>63.42019890458346</v>
      </c>
      <c r="E8" s="45">
        <f t="shared" si="1"/>
        <v>-126895.32999999999</v>
      </c>
    </row>
    <row r="9" spans="1:5" ht="18" customHeight="1">
      <c r="A9" s="74" t="s">
        <v>144</v>
      </c>
      <c r="B9" s="24">
        <f>SUM(B10)</f>
        <v>422700</v>
      </c>
      <c r="C9" s="24">
        <f>SUM(C10)</f>
        <v>285776.61</v>
      </c>
      <c r="D9" s="26">
        <f t="shared" si="0"/>
        <v>67.60743080198722</v>
      </c>
      <c r="E9" s="45">
        <f t="shared" si="1"/>
        <v>-136923.39</v>
      </c>
    </row>
    <row r="10" spans="1:5" ht="12.75">
      <c r="A10" s="43" t="s">
        <v>145</v>
      </c>
      <c r="B10" s="25">
        <v>422700</v>
      </c>
      <c r="C10" s="27">
        <v>285776.61</v>
      </c>
      <c r="D10" s="26">
        <f t="shared" si="0"/>
        <v>67.60743080198722</v>
      </c>
      <c r="E10" s="45">
        <f t="shared" si="1"/>
        <v>-136923.39</v>
      </c>
    </row>
    <row r="11" spans="1:5" ht="16.5" customHeight="1">
      <c r="A11" s="16" t="s">
        <v>7</v>
      </c>
      <c r="B11" s="25">
        <f>SUM(B12:B12)</f>
        <v>2000</v>
      </c>
      <c r="C11" s="25">
        <f>C12</f>
        <v>22314.82</v>
      </c>
      <c r="D11" s="26">
        <f t="shared" si="0"/>
        <v>1115.741</v>
      </c>
      <c r="E11" s="45">
        <f t="shared" si="1"/>
        <v>20314.82</v>
      </c>
    </row>
    <row r="12" spans="1:5" ht="12.75">
      <c r="A12" s="16" t="s">
        <v>26</v>
      </c>
      <c r="B12" s="25">
        <v>2000</v>
      </c>
      <c r="C12" s="27">
        <v>22314.82</v>
      </c>
      <c r="D12" s="26">
        <f t="shared" si="0"/>
        <v>1115.741</v>
      </c>
      <c r="E12" s="45">
        <f t="shared" si="1"/>
        <v>20314.82</v>
      </c>
    </row>
    <row r="13" spans="1:5" ht="18" customHeight="1">
      <c r="A13" s="16" t="s">
        <v>9</v>
      </c>
      <c r="B13" s="25">
        <f>SUM(B14:B15)</f>
        <v>1205000</v>
      </c>
      <c r="C13" s="25">
        <f>SUM(C14:C15)</f>
        <v>228321.52</v>
      </c>
      <c r="D13" s="26">
        <f t="shared" si="0"/>
        <v>18.94784398340249</v>
      </c>
      <c r="E13" s="45">
        <f t="shared" si="1"/>
        <v>-976678.48</v>
      </c>
    </row>
    <row r="14" spans="1:5" ht="12.75">
      <c r="A14" s="16" t="s">
        <v>27</v>
      </c>
      <c r="B14" s="25">
        <v>159000</v>
      </c>
      <c r="C14" s="27">
        <v>51708.37</v>
      </c>
      <c r="D14" s="26">
        <f t="shared" si="0"/>
        <v>32.52098742138365</v>
      </c>
      <c r="E14" s="45">
        <f t="shared" si="1"/>
        <v>-107291.63</v>
      </c>
    </row>
    <row r="15" spans="1:5" ht="12.75">
      <c r="A15" s="43" t="s">
        <v>173</v>
      </c>
      <c r="B15" s="31">
        <f>SUM(B16:B17)</f>
        <v>1046000</v>
      </c>
      <c r="C15" s="31">
        <f>SUM(C16:C17)</f>
        <v>176613.15</v>
      </c>
      <c r="D15" s="26">
        <f t="shared" si="0"/>
        <v>16.884622370936903</v>
      </c>
      <c r="E15" s="45">
        <f t="shared" si="1"/>
        <v>-869386.85</v>
      </c>
    </row>
    <row r="16" spans="1:5" ht="12.75">
      <c r="A16" s="43" t="s">
        <v>174</v>
      </c>
      <c r="B16" s="31">
        <v>282400</v>
      </c>
      <c r="C16" s="79">
        <v>87107.72</v>
      </c>
      <c r="D16" s="26">
        <f t="shared" si="0"/>
        <v>30.845509915014162</v>
      </c>
      <c r="E16" s="45">
        <f t="shared" si="1"/>
        <v>-195292.28</v>
      </c>
    </row>
    <row r="17" spans="1:5" ht="12.75">
      <c r="A17" s="43" t="s">
        <v>175</v>
      </c>
      <c r="B17" s="31">
        <v>763600</v>
      </c>
      <c r="C17" s="79">
        <v>89505.43</v>
      </c>
      <c r="D17" s="26">
        <f t="shared" si="0"/>
        <v>11.721507333682556</v>
      </c>
      <c r="E17" s="45">
        <f t="shared" si="1"/>
        <v>-674094.5700000001</v>
      </c>
    </row>
    <row r="18" spans="1:5" ht="12.75">
      <c r="A18" s="43" t="s">
        <v>254</v>
      </c>
      <c r="B18" s="31">
        <v>0</v>
      </c>
      <c r="C18" s="79">
        <v>11200</v>
      </c>
      <c r="D18" s="26" t="str">
        <f t="shared" si="0"/>
        <v>   </v>
      </c>
      <c r="E18" s="45">
        <f t="shared" si="1"/>
        <v>11200</v>
      </c>
    </row>
    <row r="19" spans="1:5" ht="26.25" customHeight="1">
      <c r="A19" s="16" t="s">
        <v>89</v>
      </c>
      <c r="B19" s="25">
        <v>0</v>
      </c>
      <c r="C19" s="27">
        <v>0</v>
      </c>
      <c r="D19" s="26" t="str">
        <f t="shared" si="0"/>
        <v>   </v>
      </c>
      <c r="E19" s="45">
        <f t="shared" si="1"/>
        <v>0</v>
      </c>
    </row>
    <row r="20" spans="1:5" ht="30" customHeight="1">
      <c r="A20" s="16" t="s">
        <v>28</v>
      </c>
      <c r="B20" s="25">
        <f>SUM(B21:B24)</f>
        <v>68700</v>
      </c>
      <c r="C20" s="25">
        <f>SUM(C21:C24)</f>
        <v>17723.15</v>
      </c>
      <c r="D20" s="26">
        <f t="shared" si="0"/>
        <v>25.79788937409025</v>
      </c>
      <c r="E20" s="45">
        <f t="shared" si="1"/>
        <v>-50976.85</v>
      </c>
    </row>
    <row r="21" spans="1:5" ht="12.75">
      <c r="A21" s="16" t="s">
        <v>29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12.75">
      <c r="A22" s="43" t="s">
        <v>163</v>
      </c>
      <c r="B22" s="25">
        <v>26000</v>
      </c>
      <c r="C22" s="27">
        <v>6269.07</v>
      </c>
      <c r="D22" s="26">
        <f t="shared" si="0"/>
        <v>24.11180769230769</v>
      </c>
      <c r="E22" s="45">
        <f t="shared" si="1"/>
        <v>-19730.93</v>
      </c>
    </row>
    <row r="23" spans="1:5" ht="15.75" customHeight="1">
      <c r="A23" s="16" t="s">
        <v>30</v>
      </c>
      <c r="B23" s="25">
        <v>42700</v>
      </c>
      <c r="C23" s="25">
        <v>2240</v>
      </c>
      <c r="D23" s="26">
        <f t="shared" si="0"/>
        <v>5.245901639344262</v>
      </c>
      <c r="E23" s="45">
        <f t="shared" si="1"/>
        <v>-40460</v>
      </c>
    </row>
    <row r="24" spans="1:5" ht="42" customHeight="1">
      <c r="A24" s="16" t="s">
        <v>260</v>
      </c>
      <c r="B24" s="25">
        <v>0</v>
      </c>
      <c r="C24" s="25">
        <v>9214.08</v>
      </c>
      <c r="D24" s="26" t="str">
        <f t="shared" si="0"/>
        <v>   </v>
      </c>
      <c r="E24" s="45">
        <f t="shared" si="1"/>
        <v>9214.08</v>
      </c>
    </row>
    <row r="25" spans="1:5" ht="15.75" customHeight="1">
      <c r="A25" s="41" t="s">
        <v>92</v>
      </c>
      <c r="B25" s="25">
        <v>0</v>
      </c>
      <c r="C25" s="27">
        <v>8849.44</v>
      </c>
      <c r="D25" s="26" t="str">
        <f t="shared" si="0"/>
        <v>   </v>
      </c>
      <c r="E25" s="45">
        <f t="shared" si="1"/>
        <v>8849.44</v>
      </c>
    </row>
    <row r="26" spans="1:5" ht="15" customHeight="1">
      <c r="A26" s="16" t="s">
        <v>78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43" t="s">
        <v>139</v>
      </c>
      <c r="B27" s="25">
        <v>0</v>
      </c>
      <c r="C27" s="25">
        <v>0</v>
      </c>
      <c r="D27" s="26" t="str">
        <f t="shared" si="0"/>
        <v>   </v>
      </c>
      <c r="E27" s="45">
        <f t="shared" si="1"/>
        <v>0</v>
      </c>
    </row>
    <row r="28" spans="1:5" ht="26.25" customHeight="1">
      <c r="A28" s="16" t="s">
        <v>79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16.5" customHeight="1">
      <c r="A29" s="16" t="s">
        <v>31</v>
      </c>
      <c r="B29" s="25">
        <v>0</v>
      </c>
      <c r="C29" s="25">
        <v>0</v>
      </c>
      <c r="D29" s="26"/>
      <c r="E29" s="45">
        <f t="shared" si="1"/>
        <v>0</v>
      </c>
    </row>
    <row r="30" spans="1:5" ht="18.75" customHeight="1">
      <c r="A30" s="16" t="s">
        <v>32</v>
      </c>
      <c r="B30" s="25">
        <f>B31+B32</f>
        <v>0</v>
      </c>
      <c r="C30" s="24">
        <f>C31+C32</f>
        <v>0</v>
      </c>
      <c r="D30" s="26" t="str">
        <f t="shared" si="0"/>
        <v>   </v>
      </c>
      <c r="E30" s="45">
        <f t="shared" si="1"/>
        <v>0</v>
      </c>
    </row>
    <row r="31" spans="1:5" ht="13.5" customHeight="1">
      <c r="A31" s="16" t="s">
        <v>128</v>
      </c>
      <c r="B31" s="25">
        <v>0</v>
      </c>
      <c r="C31" s="27">
        <v>0</v>
      </c>
      <c r="D31" s="26" t="str">
        <f t="shared" si="0"/>
        <v>   </v>
      </c>
      <c r="E31" s="45">
        <f t="shared" si="1"/>
        <v>0</v>
      </c>
    </row>
    <row r="32" spans="1:5" ht="13.5" customHeight="1">
      <c r="A32" s="16" t="s">
        <v>132</v>
      </c>
      <c r="B32" s="25">
        <v>0</v>
      </c>
      <c r="C32" s="27">
        <v>0</v>
      </c>
      <c r="D32" s="26"/>
      <c r="E32" s="45">
        <f t="shared" si="1"/>
        <v>0</v>
      </c>
    </row>
    <row r="33" spans="1:5" ht="21" customHeight="1">
      <c r="A33" s="193" t="s">
        <v>10</v>
      </c>
      <c r="B33" s="44">
        <f>SUM(B7,B9,B11,B13,B19,B20,B25,B26,B29,B30,)</f>
        <v>2045300</v>
      </c>
      <c r="C33" s="44">
        <f>SUM(C7,C9,C11,C13,C19,C20,C25,C26,C29,C30,C18)</f>
        <v>794190.21</v>
      </c>
      <c r="D33" s="26">
        <f t="shared" si="0"/>
        <v>38.83001075636825</v>
      </c>
      <c r="E33" s="45">
        <f t="shared" si="1"/>
        <v>-1251109.79</v>
      </c>
    </row>
    <row r="34" spans="1:5" ht="18.75" customHeight="1">
      <c r="A34" s="201" t="s">
        <v>147</v>
      </c>
      <c r="B34" s="215">
        <f>SUM(B35:B37,B40:B40,B43)</f>
        <v>3538270</v>
      </c>
      <c r="C34" s="215">
        <f>SUM(C35:C37,C40:C40,C43)</f>
        <v>2438885.8</v>
      </c>
      <c r="D34" s="158">
        <f t="shared" si="0"/>
        <v>68.9287646222589</v>
      </c>
      <c r="E34" s="159">
        <f t="shared" si="1"/>
        <v>-1099384.2000000002</v>
      </c>
    </row>
    <row r="35" spans="1:5" ht="16.5" customHeight="1">
      <c r="A35" s="17" t="s">
        <v>34</v>
      </c>
      <c r="B35" s="24">
        <v>2587100</v>
      </c>
      <c r="C35" s="24">
        <v>1723100</v>
      </c>
      <c r="D35" s="26">
        <f t="shared" si="0"/>
        <v>66.60353291330061</v>
      </c>
      <c r="E35" s="45">
        <f t="shared" si="1"/>
        <v>-864000</v>
      </c>
    </row>
    <row r="36" spans="1:5" ht="24.75" customHeight="1">
      <c r="A36" s="150" t="s">
        <v>51</v>
      </c>
      <c r="B36" s="151">
        <v>142500</v>
      </c>
      <c r="C36" s="151">
        <v>127300</v>
      </c>
      <c r="D36" s="152">
        <f t="shared" si="0"/>
        <v>89.33333333333333</v>
      </c>
      <c r="E36" s="153">
        <f t="shared" si="1"/>
        <v>-15200</v>
      </c>
    </row>
    <row r="37" spans="1:5" ht="24.75" customHeight="1">
      <c r="A37" s="124" t="s">
        <v>157</v>
      </c>
      <c r="B37" s="151">
        <f>SUM(B38:B39)</f>
        <v>11100</v>
      </c>
      <c r="C37" s="151">
        <f>SUM(C38:C39)</f>
        <v>1582.8</v>
      </c>
      <c r="D37" s="152">
        <f t="shared" si="0"/>
        <v>14.259459459459459</v>
      </c>
      <c r="E37" s="153">
        <f t="shared" si="1"/>
        <v>-9517.2</v>
      </c>
    </row>
    <row r="38" spans="1:5" ht="12.75" customHeight="1">
      <c r="A38" s="124" t="s">
        <v>176</v>
      </c>
      <c r="B38" s="151">
        <v>200</v>
      </c>
      <c r="C38" s="151">
        <v>200</v>
      </c>
      <c r="D38" s="152">
        <f>IF(B38=0,"   ",C38/B38*100)</f>
        <v>100</v>
      </c>
      <c r="E38" s="153">
        <f>C38-B38</f>
        <v>0</v>
      </c>
    </row>
    <row r="39" spans="1:5" ht="24.75" customHeight="1">
      <c r="A39" s="124" t="s">
        <v>177</v>
      </c>
      <c r="B39" s="151">
        <v>10900</v>
      </c>
      <c r="C39" s="151">
        <v>1382.8</v>
      </c>
      <c r="D39" s="152">
        <f>IF(B39=0,"   ",C39/B39*100)</f>
        <v>12.686238532110092</v>
      </c>
      <c r="E39" s="153">
        <f>C39-B39</f>
        <v>-9517.2</v>
      </c>
    </row>
    <row r="40" spans="1:5" ht="18" customHeight="1">
      <c r="A40" s="16" t="s">
        <v>55</v>
      </c>
      <c r="B40" s="25">
        <f>B42+B41</f>
        <v>315100</v>
      </c>
      <c r="C40" s="25">
        <f>C42+C41</f>
        <v>104433</v>
      </c>
      <c r="D40" s="26">
        <f t="shared" si="0"/>
        <v>33.14281180577595</v>
      </c>
      <c r="E40" s="45">
        <f t="shared" si="1"/>
        <v>-210667</v>
      </c>
    </row>
    <row r="41" spans="1:5" ht="18" customHeight="1">
      <c r="A41" s="56" t="s">
        <v>227</v>
      </c>
      <c r="B41" s="25">
        <v>0</v>
      </c>
      <c r="C41" s="25">
        <v>0</v>
      </c>
      <c r="D41" s="26" t="str">
        <f t="shared" si="0"/>
        <v>   </v>
      </c>
      <c r="E41" s="45">
        <f t="shared" si="1"/>
        <v>0</v>
      </c>
    </row>
    <row r="42" spans="1:5" s="7" customFormat="1" ht="15.75" customHeight="1">
      <c r="A42" s="16" t="s">
        <v>110</v>
      </c>
      <c r="B42" s="57">
        <v>315100</v>
      </c>
      <c r="C42" s="25">
        <v>104433</v>
      </c>
      <c r="D42" s="57">
        <f t="shared" si="0"/>
        <v>33.14281180577595</v>
      </c>
      <c r="E42" s="42">
        <f t="shared" si="1"/>
        <v>-210667</v>
      </c>
    </row>
    <row r="43" spans="1:5" ht="39" customHeight="1">
      <c r="A43" s="16" t="s">
        <v>104</v>
      </c>
      <c r="B43" s="25">
        <v>482470</v>
      </c>
      <c r="C43" s="25">
        <v>482470</v>
      </c>
      <c r="D43" s="26">
        <f t="shared" si="0"/>
        <v>100</v>
      </c>
      <c r="E43" s="45">
        <f t="shared" si="1"/>
        <v>0</v>
      </c>
    </row>
    <row r="44" spans="1:5" ht="26.25" customHeight="1">
      <c r="A44" s="193" t="s">
        <v>11</v>
      </c>
      <c r="B44" s="168">
        <f>SUM(B33,B34,)</f>
        <v>5583570</v>
      </c>
      <c r="C44" s="168">
        <f>SUM(C33,C34,)</f>
        <v>3233076.01</v>
      </c>
      <c r="D44" s="26">
        <f t="shared" si="0"/>
        <v>57.90338457295242</v>
      </c>
      <c r="E44" s="45">
        <f t="shared" si="1"/>
        <v>-2350493.99</v>
      </c>
    </row>
    <row r="45" spans="1:5" ht="12.75" customHeight="1">
      <c r="A45" s="22" t="s">
        <v>12</v>
      </c>
      <c r="B45" s="47"/>
      <c r="C45" s="48"/>
      <c r="D45" s="26" t="str">
        <f t="shared" si="0"/>
        <v>   </v>
      </c>
      <c r="E45" s="45"/>
    </row>
    <row r="46" spans="1:5" ht="24" customHeight="1">
      <c r="A46" s="16" t="s">
        <v>35</v>
      </c>
      <c r="B46" s="25">
        <f>SUM(B47,B49,B50)</f>
        <v>1122360</v>
      </c>
      <c r="C46" s="25">
        <f>SUM(C47,C49,C50)</f>
        <v>694427.04</v>
      </c>
      <c r="D46" s="26">
        <f t="shared" si="0"/>
        <v>61.87204105634556</v>
      </c>
      <c r="E46" s="45">
        <f t="shared" si="1"/>
        <v>-427932.95999999996</v>
      </c>
    </row>
    <row r="47" spans="1:5" ht="12.75" customHeight="1">
      <c r="A47" s="16" t="s">
        <v>36</v>
      </c>
      <c r="B47" s="25">
        <v>1118400</v>
      </c>
      <c r="C47" s="25">
        <v>690967.04</v>
      </c>
      <c r="D47" s="26">
        <f t="shared" si="0"/>
        <v>61.781745350500714</v>
      </c>
      <c r="E47" s="45">
        <f t="shared" si="1"/>
        <v>-427432.95999999996</v>
      </c>
    </row>
    <row r="48" spans="1:5" ht="12.75">
      <c r="A48" s="97" t="s">
        <v>122</v>
      </c>
      <c r="B48" s="25">
        <v>717400</v>
      </c>
      <c r="C48" s="28">
        <v>445631.57</v>
      </c>
      <c r="D48" s="26">
        <f t="shared" si="0"/>
        <v>62.117587120156124</v>
      </c>
      <c r="E48" s="45">
        <f t="shared" si="1"/>
        <v>-271768.43</v>
      </c>
    </row>
    <row r="49" spans="1:5" ht="12.75">
      <c r="A49" s="16" t="s">
        <v>96</v>
      </c>
      <c r="B49" s="25">
        <v>500</v>
      </c>
      <c r="C49" s="27">
        <v>0</v>
      </c>
      <c r="D49" s="26">
        <f t="shared" si="0"/>
        <v>0</v>
      </c>
      <c r="E49" s="45">
        <f t="shared" si="1"/>
        <v>-500</v>
      </c>
    </row>
    <row r="50" spans="1:5" ht="12.75">
      <c r="A50" s="16" t="s">
        <v>52</v>
      </c>
      <c r="B50" s="27">
        <f>SUM(B51:B53)</f>
        <v>3460</v>
      </c>
      <c r="C50" s="27">
        <f>SUM(C51:C53)</f>
        <v>3460</v>
      </c>
      <c r="D50" s="26">
        <f t="shared" si="0"/>
        <v>100</v>
      </c>
      <c r="E50" s="45">
        <f t="shared" si="1"/>
        <v>0</v>
      </c>
    </row>
    <row r="51" spans="1:5" ht="12.75">
      <c r="A51" s="120" t="s">
        <v>194</v>
      </c>
      <c r="B51" s="27">
        <v>0</v>
      </c>
      <c r="C51" s="27">
        <v>0</v>
      </c>
      <c r="D51" s="26" t="str">
        <f>IF(B51=0,"   ",C51/B51*100)</f>
        <v>   </v>
      </c>
      <c r="E51" s="45">
        <f>C51-B51</f>
        <v>0</v>
      </c>
    </row>
    <row r="52" spans="1:5" ht="38.25">
      <c r="A52" s="120" t="s">
        <v>262</v>
      </c>
      <c r="B52" s="27">
        <v>3460</v>
      </c>
      <c r="C52" s="27">
        <v>3460</v>
      </c>
      <c r="D52" s="26">
        <f>IF(B52=0,"   ",C52/B52*100)</f>
        <v>100</v>
      </c>
      <c r="E52" s="45">
        <f>C52-B52</f>
        <v>0</v>
      </c>
    </row>
    <row r="53" spans="1:5" ht="39.75" customHeight="1">
      <c r="A53" s="120" t="s">
        <v>195</v>
      </c>
      <c r="B53" s="25">
        <v>0</v>
      </c>
      <c r="C53" s="27">
        <v>0</v>
      </c>
      <c r="D53" s="26" t="str">
        <f t="shared" si="0"/>
        <v>   </v>
      </c>
      <c r="E53" s="45">
        <f t="shared" si="1"/>
        <v>0</v>
      </c>
    </row>
    <row r="54" spans="1:5" ht="22.5" customHeight="1">
      <c r="A54" s="16" t="s">
        <v>49</v>
      </c>
      <c r="B54" s="27">
        <f>SUM(B55)</f>
        <v>142500</v>
      </c>
      <c r="C54" s="27">
        <f>SUM(C55)</f>
        <v>82952.64</v>
      </c>
      <c r="D54" s="26">
        <f t="shared" si="0"/>
        <v>58.21237894736843</v>
      </c>
      <c r="E54" s="45">
        <f t="shared" si="1"/>
        <v>-59547.36</v>
      </c>
    </row>
    <row r="55" spans="1:5" ht="12" customHeight="1">
      <c r="A55" s="16" t="s">
        <v>108</v>
      </c>
      <c r="B55" s="25">
        <v>142500</v>
      </c>
      <c r="C55" s="27">
        <v>82952.64</v>
      </c>
      <c r="D55" s="26">
        <f t="shared" si="0"/>
        <v>58.21237894736843</v>
      </c>
      <c r="E55" s="45">
        <f t="shared" si="1"/>
        <v>-59547.36</v>
      </c>
    </row>
    <row r="56" spans="1:5" ht="16.5" customHeight="1">
      <c r="A56" s="16" t="s">
        <v>37</v>
      </c>
      <c r="B56" s="25">
        <f>SUM(B57)</f>
        <v>800</v>
      </c>
      <c r="C56" s="27">
        <f>SUM(C57)</f>
        <v>0</v>
      </c>
      <c r="D56" s="26">
        <f t="shared" si="0"/>
        <v>0</v>
      </c>
      <c r="E56" s="45">
        <f t="shared" si="1"/>
        <v>-800</v>
      </c>
    </row>
    <row r="57" spans="1:5" ht="16.5" customHeight="1">
      <c r="A57" s="43" t="s">
        <v>130</v>
      </c>
      <c r="B57" s="25">
        <v>800</v>
      </c>
      <c r="C57" s="27">
        <v>0</v>
      </c>
      <c r="D57" s="26">
        <f t="shared" si="0"/>
        <v>0</v>
      </c>
      <c r="E57" s="45">
        <f t="shared" si="1"/>
        <v>-800</v>
      </c>
    </row>
    <row r="58" spans="1:5" ht="21.75" customHeight="1">
      <c r="A58" s="16" t="s">
        <v>38</v>
      </c>
      <c r="B58" s="27">
        <f>B62+B59</f>
        <v>436300</v>
      </c>
      <c r="C58" s="27">
        <f>C62+C59</f>
        <v>140989.91999999998</v>
      </c>
      <c r="D58" s="26">
        <f t="shared" si="0"/>
        <v>32.31490258996103</v>
      </c>
      <c r="E58" s="45">
        <f t="shared" si="1"/>
        <v>-295310.08</v>
      </c>
    </row>
    <row r="59" spans="1:5" ht="21.75" customHeight="1">
      <c r="A59" s="87" t="s">
        <v>178</v>
      </c>
      <c r="B59" s="25">
        <f>SUM(B60+B61)</f>
        <v>10900</v>
      </c>
      <c r="C59" s="25">
        <f>SUM(C60+C61)</f>
        <v>0</v>
      </c>
      <c r="D59" s="26">
        <f>IF(B59=0,"   ",C59/B59*100)</f>
        <v>0</v>
      </c>
      <c r="E59" s="45">
        <f>C59-B59</f>
        <v>-10900</v>
      </c>
    </row>
    <row r="60" spans="1:5" ht="21.75" customHeight="1">
      <c r="A60" s="87" t="s">
        <v>179</v>
      </c>
      <c r="B60" s="25">
        <v>10900</v>
      </c>
      <c r="C60" s="142">
        <v>0</v>
      </c>
      <c r="D60" s="26">
        <f>IF(B60=0,"   ",C60/B60*100)</f>
        <v>0</v>
      </c>
      <c r="E60" s="45">
        <f>C60-B60</f>
        <v>-10900</v>
      </c>
    </row>
    <row r="61" spans="1:5" ht="21.75" customHeight="1">
      <c r="A61" s="87" t="s">
        <v>185</v>
      </c>
      <c r="B61" s="134">
        <v>0</v>
      </c>
      <c r="C61" s="142">
        <v>0</v>
      </c>
      <c r="D61" s="26"/>
      <c r="E61" s="45"/>
    </row>
    <row r="62" spans="1:5" ht="12" customHeight="1">
      <c r="A62" s="111" t="s">
        <v>134</v>
      </c>
      <c r="B62" s="134">
        <f>B63+B66+B67+B64+B65</f>
        <v>425400</v>
      </c>
      <c r="C62" s="134">
        <f>C63+C66+C67+C64+C65</f>
        <v>140989.91999999998</v>
      </c>
      <c r="D62" s="26">
        <f t="shared" si="0"/>
        <v>33.14290550070522</v>
      </c>
      <c r="E62" s="45">
        <f t="shared" si="1"/>
        <v>-284410.08</v>
      </c>
    </row>
    <row r="63" spans="1:5" ht="17.25" customHeight="1">
      <c r="A63" s="87" t="s">
        <v>160</v>
      </c>
      <c r="B63" s="25">
        <v>0</v>
      </c>
      <c r="C63" s="27">
        <v>0</v>
      </c>
      <c r="D63" s="26" t="str">
        <f t="shared" si="0"/>
        <v>   </v>
      </c>
      <c r="E63" s="45">
        <f t="shared" si="1"/>
        <v>0</v>
      </c>
    </row>
    <row r="64" spans="1:5" ht="17.25" customHeight="1">
      <c r="A64" s="87" t="s">
        <v>156</v>
      </c>
      <c r="B64" s="138">
        <v>0</v>
      </c>
      <c r="C64" s="27">
        <v>0</v>
      </c>
      <c r="D64" s="26" t="str">
        <f t="shared" si="0"/>
        <v>   </v>
      </c>
      <c r="E64" s="45">
        <f t="shared" si="1"/>
        <v>0</v>
      </c>
    </row>
    <row r="65" spans="1:5" ht="17.25" customHeight="1">
      <c r="A65" s="87" t="s">
        <v>190</v>
      </c>
      <c r="B65" s="138">
        <v>0</v>
      </c>
      <c r="C65" s="27">
        <v>0</v>
      </c>
      <c r="D65" s="26" t="str">
        <f t="shared" si="0"/>
        <v>   </v>
      </c>
      <c r="E65" s="45">
        <f t="shared" si="1"/>
        <v>0</v>
      </c>
    </row>
    <row r="66" spans="1:5" ht="27" customHeight="1">
      <c r="A66" s="165" t="s">
        <v>135</v>
      </c>
      <c r="B66" s="138">
        <v>315100</v>
      </c>
      <c r="C66" s="27">
        <v>104432.92</v>
      </c>
      <c r="D66" s="26">
        <f t="shared" si="0"/>
        <v>33.14278641701047</v>
      </c>
      <c r="E66" s="45">
        <f t="shared" si="1"/>
        <v>-210667.08000000002</v>
      </c>
    </row>
    <row r="67" spans="1:5" ht="27" customHeight="1">
      <c r="A67" s="82" t="s">
        <v>136</v>
      </c>
      <c r="B67" s="130">
        <v>110300</v>
      </c>
      <c r="C67" s="27">
        <v>36557</v>
      </c>
      <c r="D67" s="26">
        <f t="shared" si="0"/>
        <v>33.14324569356301</v>
      </c>
      <c r="E67" s="45">
        <f t="shared" si="1"/>
        <v>-73743</v>
      </c>
    </row>
    <row r="68" spans="1:5" ht="20.25" customHeight="1">
      <c r="A68" s="16" t="s">
        <v>13</v>
      </c>
      <c r="B68" s="25">
        <f>SUM(B69,B71,B75,)</f>
        <v>1369910</v>
      </c>
      <c r="C68" s="25">
        <f>SUM(C69,C71,C75,)</f>
        <v>847552.71</v>
      </c>
      <c r="D68" s="26">
        <f t="shared" si="0"/>
        <v>61.86922571555795</v>
      </c>
      <c r="E68" s="45">
        <f t="shared" si="1"/>
        <v>-522357.29000000004</v>
      </c>
    </row>
    <row r="69" spans="1:5" ht="12.75">
      <c r="A69" s="16" t="s">
        <v>14</v>
      </c>
      <c r="B69" s="25">
        <f>SUM(B70:B70)</f>
        <v>0</v>
      </c>
      <c r="C69" s="25">
        <f>SUM(C70:C70)</f>
        <v>0</v>
      </c>
      <c r="D69" s="26" t="str">
        <f t="shared" si="0"/>
        <v>   </v>
      </c>
      <c r="E69" s="45">
        <f t="shared" si="1"/>
        <v>0</v>
      </c>
    </row>
    <row r="70" spans="1:5" ht="15.75" customHeight="1">
      <c r="A70" s="16" t="s">
        <v>99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91</v>
      </c>
      <c r="B71" s="25">
        <f>SUM(B72:B74)</f>
        <v>501358.74</v>
      </c>
      <c r="C71" s="25">
        <f>SUM(C72:C74)</f>
        <v>501358.74</v>
      </c>
      <c r="D71" s="26">
        <f t="shared" si="0"/>
        <v>100</v>
      </c>
      <c r="E71" s="45">
        <f t="shared" si="1"/>
        <v>0</v>
      </c>
    </row>
    <row r="72" spans="1:5" ht="38.25">
      <c r="A72" s="16" t="s">
        <v>196</v>
      </c>
      <c r="B72" s="25">
        <v>482470</v>
      </c>
      <c r="C72" s="25">
        <v>482470</v>
      </c>
      <c r="D72" s="26">
        <f>IF(B72=0,"   ",C72/B72*100)</f>
        <v>100</v>
      </c>
      <c r="E72" s="45">
        <f>C72-B72</f>
        <v>0</v>
      </c>
    </row>
    <row r="73" spans="1:5" ht="38.25">
      <c r="A73" s="16" t="s">
        <v>263</v>
      </c>
      <c r="B73" s="25">
        <v>18888.74</v>
      </c>
      <c r="C73" s="25">
        <v>18888.74</v>
      </c>
      <c r="D73" s="26"/>
      <c r="E73" s="45"/>
    </row>
    <row r="74" spans="1:5" ht="12.75">
      <c r="A74" s="16" t="s">
        <v>170</v>
      </c>
      <c r="B74" s="25">
        <v>0</v>
      </c>
      <c r="C74" s="27">
        <v>0</v>
      </c>
      <c r="D74" s="26" t="str">
        <f t="shared" si="0"/>
        <v>   </v>
      </c>
      <c r="E74" s="45">
        <f t="shared" si="1"/>
        <v>0</v>
      </c>
    </row>
    <row r="75" spans="1:5" ht="12.75">
      <c r="A75" s="16" t="s">
        <v>69</v>
      </c>
      <c r="B75" s="25">
        <f>B76+B78+B77+B79</f>
        <v>868551.26</v>
      </c>
      <c r="C75" s="25">
        <f>C76+C78+C77+C79</f>
        <v>346193.97</v>
      </c>
      <c r="D75" s="26">
        <f t="shared" si="0"/>
        <v>39.85878392485436</v>
      </c>
      <c r="E75" s="45">
        <f t="shared" si="1"/>
        <v>-522357.29000000004</v>
      </c>
    </row>
    <row r="76" spans="1:5" ht="12.75">
      <c r="A76" s="16" t="s">
        <v>56</v>
      </c>
      <c r="B76" s="25">
        <v>846251.26</v>
      </c>
      <c r="C76" s="27">
        <v>346193.97</v>
      </c>
      <c r="D76" s="26">
        <f t="shared" si="0"/>
        <v>40.90912313678564</v>
      </c>
      <c r="E76" s="45">
        <f t="shared" si="1"/>
        <v>-500057.29000000004</v>
      </c>
    </row>
    <row r="77" spans="1:5" ht="25.5">
      <c r="A77" s="120" t="s">
        <v>180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2.75">
      <c r="A78" s="16" t="s">
        <v>57</v>
      </c>
      <c r="B78" s="25">
        <v>22300</v>
      </c>
      <c r="C78" s="27">
        <v>0</v>
      </c>
      <c r="D78" s="26">
        <f t="shared" si="0"/>
        <v>0</v>
      </c>
      <c r="E78" s="45">
        <f t="shared" si="1"/>
        <v>-22300</v>
      </c>
    </row>
    <row r="79" spans="1:5" ht="12.75">
      <c r="A79" s="175" t="s">
        <v>95</v>
      </c>
      <c r="B79" s="25">
        <v>0</v>
      </c>
      <c r="C79" s="27">
        <v>0</v>
      </c>
      <c r="D79" s="26" t="str">
        <f t="shared" si="0"/>
        <v>   </v>
      </c>
      <c r="E79" s="45">
        <f t="shared" si="1"/>
        <v>0</v>
      </c>
    </row>
    <row r="80" spans="1:5" ht="20.25" customHeight="1">
      <c r="A80" s="18" t="s">
        <v>17</v>
      </c>
      <c r="B80" s="31">
        <v>16000</v>
      </c>
      <c r="C80" s="31">
        <v>0</v>
      </c>
      <c r="D80" s="26">
        <f t="shared" si="0"/>
        <v>0</v>
      </c>
      <c r="E80" s="45">
        <f t="shared" si="1"/>
        <v>-16000</v>
      </c>
    </row>
    <row r="81" spans="1:5" ht="21.75" customHeight="1">
      <c r="A81" s="16" t="s">
        <v>41</v>
      </c>
      <c r="B81" s="24">
        <f>SUM(B82,)</f>
        <v>2561500</v>
      </c>
      <c r="C81" s="24">
        <f>SUM(C82,)</f>
        <v>1255100</v>
      </c>
      <c r="D81" s="26">
        <f t="shared" si="0"/>
        <v>48.99863361311731</v>
      </c>
      <c r="E81" s="45">
        <f t="shared" si="1"/>
        <v>-1306400</v>
      </c>
    </row>
    <row r="82" spans="1:5" ht="14.25" customHeight="1">
      <c r="A82" s="16" t="s">
        <v>42</v>
      </c>
      <c r="B82" s="25">
        <v>2561500</v>
      </c>
      <c r="C82" s="27">
        <v>1255100</v>
      </c>
      <c r="D82" s="26">
        <f t="shared" si="0"/>
        <v>48.99863361311731</v>
      </c>
      <c r="E82" s="45">
        <f t="shared" si="1"/>
        <v>-1306400</v>
      </c>
    </row>
    <row r="83" spans="1:5" ht="18.75" customHeight="1">
      <c r="A83" s="16" t="s">
        <v>125</v>
      </c>
      <c r="B83" s="25">
        <f>SUM(B84,)</f>
        <v>16000</v>
      </c>
      <c r="C83" s="25">
        <f>C84</f>
        <v>16000</v>
      </c>
      <c r="D83" s="26">
        <f t="shared" si="0"/>
        <v>100</v>
      </c>
      <c r="E83" s="45">
        <f t="shared" si="1"/>
        <v>0</v>
      </c>
    </row>
    <row r="84" spans="1:5" ht="12.75" customHeight="1">
      <c r="A84" s="16" t="s">
        <v>43</v>
      </c>
      <c r="B84" s="25">
        <v>16000</v>
      </c>
      <c r="C84" s="28">
        <v>16000</v>
      </c>
      <c r="D84" s="26">
        <f t="shared" si="0"/>
        <v>100</v>
      </c>
      <c r="E84" s="45">
        <f t="shared" si="1"/>
        <v>0</v>
      </c>
    </row>
    <row r="85" spans="1:5" ht="30.75" customHeight="1">
      <c r="A85" s="193" t="s">
        <v>15</v>
      </c>
      <c r="B85" s="24">
        <f>SUM(B46,B54,B56,B58,B68,B80,B81,B83,)</f>
        <v>5665370</v>
      </c>
      <c r="C85" s="24">
        <f>SUM(C46,C54,C56,C58,C68,C80,C81,C83,)</f>
        <v>3037022.31</v>
      </c>
      <c r="D85" s="26">
        <f>IF(B85=0,"   ",C85/B85*100)</f>
        <v>53.60677784504807</v>
      </c>
      <c r="E85" s="45">
        <f t="shared" si="1"/>
        <v>-2628347.69</v>
      </c>
    </row>
    <row r="86" spans="1:5" s="69" customFormat="1" ht="23.25" customHeight="1">
      <c r="A86" s="92" t="s">
        <v>311</v>
      </c>
      <c r="B86" s="92"/>
      <c r="C86" s="244"/>
      <c r="D86" s="244"/>
      <c r="E86" s="244"/>
    </row>
    <row r="87" spans="1:5" s="69" customFormat="1" ht="12" customHeight="1">
      <c r="A87" s="92" t="s">
        <v>165</v>
      </c>
      <c r="B87" s="92"/>
      <c r="C87" s="93" t="s">
        <v>312</v>
      </c>
      <c r="D87" s="94"/>
      <c r="E87" s="95"/>
    </row>
    <row r="88" spans="1:5" ht="15" customHeight="1">
      <c r="A88" s="7"/>
      <c r="B88" s="7"/>
      <c r="C88" s="6"/>
      <c r="D88" s="7"/>
      <c r="E88" s="2"/>
    </row>
    <row r="89" spans="1:5" ht="12" customHeight="1">
      <c r="A89" s="58"/>
      <c r="B89" s="58"/>
      <c r="C89" s="59"/>
      <c r="D89" s="60"/>
      <c r="E89" s="6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6:E86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2018-09-05T04:50:54Z</cp:lastPrinted>
  <dcterms:created xsi:type="dcterms:W3CDTF">2001-03-21T05:21:19Z</dcterms:created>
  <dcterms:modified xsi:type="dcterms:W3CDTF">2018-09-05T04:51:03Z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